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2024-1-1111 八仙庄\P01收储\"/>
    </mc:Choice>
  </mc:AlternateContent>
  <bookViews>
    <workbookView xWindow="0" yWindow="0" windowWidth="20496" windowHeight="7752"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state="hidden"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Sheet3" sheetId="78" r:id="rId24"/>
    <sheet name="比较法案例" sheetId="75" state="hidden" r:id="rId25"/>
    <sheet name="Sheet2" sheetId="73" state="hidden" r:id="rId26"/>
    <sheet name="基准地价" sheetId="46" r:id="rId27"/>
    <sheet name="修正" sheetId="49" state="hidden" r:id="rId28"/>
    <sheet name="区片价" sheetId="48" state="hidden" r:id="rId29"/>
    <sheet name="区片价-范围" sheetId="71" state="hidden" r:id="rId30"/>
    <sheet name="容积率修正" sheetId="45" state="hidden" r:id="rId31"/>
    <sheet name="因素修正幅度" sheetId="56" state="hidden" r:id="rId32"/>
    <sheet name="地价" sheetId="59" state="hidden" r:id="rId33"/>
    <sheet name="地价-分区" sheetId="70" state="hidden" r:id="rId34"/>
    <sheet name="基准地价（汇总）" sheetId="67" state="hidden" r:id="rId35"/>
    <sheet name="收益还原法" sheetId="44" state="hidden" r:id="rId36"/>
    <sheet name="不动产收益法" sheetId="15" state="hidden"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办公" sheetId="34" state="hidden" r:id="rId42"/>
    <sheet name="比较法-工业 (2)" sheetId="76" state="hidden" r:id="rId43"/>
    <sheet name="成本案例" sheetId="72"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2" hidden="1">'比较法-工业 (2)'!$A$1:$L$45</definedName>
    <definedName name="_xlnm._FilterDatabase" localSheetId="21" hidden="1">'比较法-住宅、综合'!$A$1:$L$50</definedName>
    <definedName name="_xlnm._FilterDatabase" localSheetId="41"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2">'比较法-工业 (2)'!$A$1:$K$62,'比较法-工业 (2)'!$A$65:$N$122</definedName>
    <definedName name="_xlnm.Print_Area" localSheetId="21">'比较法-住宅、综合'!$A$1:$K$66,'比较法-住宅、综合'!$A$70:$N$133</definedName>
    <definedName name="_xlnm.Print_Area" localSheetId="41">'不动产比较法-办公'!$A$1:$K$55,'不动产比较法-办公'!$A$58:$M$132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6">不动产收益法!$A$1:$F$43,不动产收益法!$H$3:$M$29,不动产收益法!$A$46:$F$70,不动产收益法!$I$46:$M$60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6">基准地价!$A$1:$J$44,基准地价!$A$47:$N$103,基准地价!$R$1:$V$16</definedName>
    <definedName name="_xlnm.Print_Area" localSheetId="34">'基准地价（汇总）'!$A$1:$F$14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5">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2">'比较法-工业 (2)'!$B$115:$M$115</definedName>
    <definedName name="套工工程地质条件">'比较法-工业'!$B$115:$M$115</definedName>
    <definedName name="套工交易情况">'比较法-住宅、综合'!$A$74:$M$74</definedName>
    <definedName name="套工开发程度" localSheetId="42">'比较法-工业 (2)'!$B$113:$M$113</definedName>
    <definedName name="套工开发程度">'比较法-工业'!$B$113:$M$113</definedName>
    <definedName name="套工临街等级" localSheetId="42">'比较法-工业 (2)'!$B$98:$M$98</definedName>
    <definedName name="套工临街等级">'比较法-工业'!$B$98:$M$98</definedName>
    <definedName name="套工土地级别" localSheetId="42">'比较法-工业 (2)'!$B$100:$M$100</definedName>
    <definedName name="套工土地级别">'比较法-工业'!$B$100:$M$100</definedName>
    <definedName name="套工用途" localSheetId="42">'比较法-工业 (2)'!$B$71:$M$71</definedName>
    <definedName name="套工用途">'比较法-工业'!$B$71:$M$71</definedName>
    <definedName name="套工宗地形状" localSheetId="42">'比较法-工业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D5" i="9" l="1"/>
  <c r="J24" i="46"/>
  <c r="I36" i="40"/>
  <c r="G36" i="40"/>
  <c r="E36" i="40"/>
  <c r="O26" i="78"/>
  <c r="O32" i="78"/>
  <c r="O24" i="78"/>
  <c r="J12" i="40" l="1"/>
  <c r="F37" i="76" l="1"/>
  <c r="AA37" i="76"/>
  <c r="F36" i="76"/>
  <c r="AA36" i="76"/>
  <c r="H37" i="76"/>
  <c r="AB37" i="76"/>
  <c r="H36" i="76"/>
  <c r="AB36" i="76"/>
  <c r="J37" i="76"/>
  <c r="AC37" i="76"/>
  <c r="J36" i="76"/>
  <c r="AC36" i="76"/>
  <c r="I13" i="3"/>
  <c r="A6" i="77"/>
  <c r="D8" i="11"/>
  <c r="F67" i="76"/>
  <c r="G67" i="76"/>
  <c r="H67" i="76"/>
  <c r="I67" i="76"/>
  <c r="J67" i="76"/>
  <c r="K67" i="76"/>
  <c r="L67" i="76"/>
  <c r="M67" i="76"/>
  <c r="N67" i="76"/>
  <c r="E67" i="76"/>
  <c r="D67" i="76"/>
  <c r="I9" i="76"/>
  <c r="G9" i="76"/>
  <c r="E9" i="76"/>
  <c r="B121" i="76"/>
  <c r="B119" i="76"/>
  <c r="B117" i="76"/>
  <c r="J116" i="76"/>
  <c r="K116" i="76"/>
  <c r="L116" i="76"/>
  <c r="M116" i="76"/>
  <c r="F116" i="76"/>
  <c r="G116" i="76"/>
  <c r="H116" i="76"/>
  <c r="I116" i="76"/>
  <c r="E116" i="76"/>
  <c r="D116" i="76"/>
  <c r="D114" i="76"/>
  <c r="E114" i="76"/>
  <c r="F114" i="76"/>
  <c r="G114" i="76"/>
  <c r="H114" i="76"/>
  <c r="I114" i="76"/>
  <c r="J114" i="76"/>
  <c r="K114" i="76"/>
  <c r="L114" i="76"/>
  <c r="M114" i="76"/>
  <c r="D112" i="76"/>
  <c r="E112" i="76"/>
  <c r="F112" i="76"/>
  <c r="G112" i="76"/>
  <c r="H112" i="76"/>
  <c r="I112" i="76"/>
  <c r="J112" i="76"/>
  <c r="K112" i="76"/>
  <c r="L112" i="76"/>
  <c r="M112" i="76"/>
  <c r="D108" i="76"/>
  <c r="C108" i="76"/>
  <c r="B106" i="76"/>
  <c r="B104" i="76"/>
  <c r="B102" i="76"/>
  <c r="F101" i="76"/>
  <c r="G101" i="76"/>
  <c r="H101" i="76"/>
  <c r="I101" i="76"/>
  <c r="J101" i="76"/>
  <c r="K101" i="76"/>
  <c r="L101" i="76"/>
  <c r="M101" i="76"/>
  <c r="E101" i="76"/>
  <c r="D101" i="76"/>
  <c r="H99" i="76"/>
  <c r="I99" i="76"/>
  <c r="J99" i="76"/>
  <c r="K99" i="76"/>
  <c r="L99" i="76"/>
  <c r="M99" i="76"/>
  <c r="D99" i="76"/>
  <c r="E99" i="76"/>
  <c r="F99" i="76"/>
  <c r="G99" i="76"/>
  <c r="J97" i="76"/>
  <c r="K97" i="76"/>
  <c r="L97" i="76"/>
  <c r="M97" i="76"/>
  <c r="F97" i="76"/>
  <c r="G97" i="76"/>
  <c r="H97" i="76"/>
  <c r="I97" i="76"/>
  <c r="E97" i="76"/>
  <c r="D97" i="76"/>
  <c r="B96" i="76"/>
  <c r="D95" i="76"/>
  <c r="E95" i="76"/>
  <c r="F95" i="76"/>
  <c r="G95" i="76"/>
  <c r="D93" i="76"/>
  <c r="E93" i="76"/>
  <c r="F93" i="76"/>
  <c r="G93" i="76"/>
  <c r="D91" i="76"/>
  <c r="E91" i="76"/>
  <c r="F91" i="76"/>
  <c r="G91" i="76"/>
  <c r="D89" i="76"/>
  <c r="E89" i="76"/>
  <c r="F89" i="76"/>
  <c r="G89" i="76"/>
  <c r="D87" i="76"/>
  <c r="E87" i="76"/>
  <c r="F87" i="76"/>
  <c r="G87" i="76"/>
  <c r="D85" i="76"/>
  <c r="E85" i="76"/>
  <c r="F85" i="76"/>
  <c r="G85" i="76"/>
  <c r="B82" i="76"/>
  <c r="J16" i="76"/>
  <c r="B80" i="76"/>
  <c r="B78" i="76"/>
  <c r="D77" i="76"/>
  <c r="E77" i="76"/>
  <c r="F77" i="76"/>
  <c r="G77" i="76"/>
  <c r="H77" i="76"/>
  <c r="I77" i="76"/>
  <c r="J77" i="76"/>
  <c r="K77" i="76"/>
  <c r="L77" i="76"/>
  <c r="M77" i="76"/>
  <c r="M75" i="76"/>
  <c r="L75" i="76"/>
  <c r="K75" i="76"/>
  <c r="J75" i="76"/>
  <c r="I75" i="76"/>
  <c r="H75" i="76"/>
  <c r="G75" i="76"/>
  <c r="F75" i="76"/>
  <c r="E75" i="76"/>
  <c r="D75" i="76"/>
  <c r="C75" i="76"/>
  <c r="O66" i="76"/>
  <c r="I61" i="76"/>
  <c r="H61" i="76"/>
  <c r="C61" i="76"/>
  <c r="I60" i="76"/>
  <c r="H60" i="76"/>
  <c r="C60" i="76"/>
  <c r="I59" i="76"/>
  <c r="H59" i="76"/>
  <c r="C59" i="76"/>
  <c r="I58" i="76"/>
  <c r="C58" i="76"/>
  <c r="H58" i="76"/>
  <c r="I57" i="76"/>
  <c r="H57" i="76"/>
  <c r="C57" i="76"/>
  <c r="I56" i="76"/>
  <c r="C56" i="76"/>
  <c r="H56" i="76"/>
  <c r="H55" i="76"/>
  <c r="I55" i="76"/>
  <c r="C55" i="76"/>
  <c r="I54" i="76"/>
  <c r="C54" i="76"/>
  <c r="H54" i="76"/>
  <c r="J52" i="76"/>
  <c r="P45" i="76"/>
  <c r="P44" i="76"/>
  <c r="K44" i="76"/>
  <c r="P43" i="76"/>
  <c r="W42" i="76"/>
  <c r="Q42" i="76"/>
  <c r="Z42" i="76"/>
  <c r="J42" i="76"/>
  <c r="AC42" i="76"/>
  <c r="H42" i="76"/>
  <c r="AB42" i="76"/>
  <c r="F42" i="76"/>
  <c r="AA42" i="76"/>
  <c r="U41" i="76"/>
  <c r="Q41" i="76"/>
  <c r="Z41" i="76"/>
  <c r="J41" i="76"/>
  <c r="AC41" i="76"/>
  <c r="H41" i="76"/>
  <c r="AB41" i="76"/>
  <c r="F41" i="76"/>
  <c r="AA41" i="76"/>
  <c r="S40" i="76"/>
  <c r="Q40" i="76"/>
  <c r="Z40" i="76"/>
  <c r="F40" i="76"/>
  <c r="AA40" i="76"/>
  <c r="Q39" i="76"/>
  <c r="Z39" i="76"/>
  <c r="J39" i="76"/>
  <c r="AC39" i="76"/>
  <c r="H39" i="76"/>
  <c r="AB39" i="76"/>
  <c r="F39" i="76"/>
  <c r="AA39" i="76"/>
  <c r="AC38" i="76"/>
  <c r="Q38" i="76"/>
  <c r="Z38" i="76"/>
  <c r="J38" i="76"/>
  <c r="W38" i="76"/>
  <c r="H38" i="76"/>
  <c r="AB38" i="76"/>
  <c r="F38" i="76"/>
  <c r="AA38" i="76"/>
  <c r="Q37" i="76"/>
  <c r="Z37" i="76"/>
  <c r="Q36" i="76"/>
  <c r="Z36" i="76"/>
  <c r="Z35" i="76"/>
  <c r="Q35" i="76"/>
  <c r="J35" i="76"/>
  <c r="AC35" i="76"/>
  <c r="H35" i="76"/>
  <c r="AB35" i="76"/>
  <c r="F35" i="76"/>
  <c r="AA35" i="76"/>
  <c r="Q34" i="76"/>
  <c r="Z34" i="76"/>
  <c r="J34" i="76"/>
  <c r="AC34" i="76"/>
  <c r="H34" i="76"/>
  <c r="AB34" i="76"/>
  <c r="F34" i="76"/>
  <c r="AA34" i="76"/>
  <c r="U33" i="76"/>
  <c r="Q33" i="76"/>
  <c r="Z33" i="76"/>
  <c r="H33" i="76"/>
  <c r="AB33" i="76"/>
  <c r="Q32" i="76"/>
  <c r="Z32" i="76"/>
  <c r="J32" i="76"/>
  <c r="AC32" i="76"/>
  <c r="F32" i="76"/>
  <c r="AA32" i="76"/>
  <c r="C32" i="76"/>
  <c r="H32" i="76"/>
  <c r="Q30" i="76"/>
  <c r="Z30" i="76"/>
  <c r="J30" i="76"/>
  <c r="AC30" i="76"/>
  <c r="H30" i="76"/>
  <c r="AB30" i="76"/>
  <c r="F30" i="76"/>
  <c r="AA30" i="76"/>
  <c r="C30" i="76"/>
  <c r="AA29" i="76"/>
  <c r="Q29" i="76"/>
  <c r="Z29" i="76"/>
  <c r="J29" i="76"/>
  <c r="AC29" i="76"/>
  <c r="H29" i="76"/>
  <c r="AB29" i="76"/>
  <c r="F29" i="76"/>
  <c r="S29" i="76"/>
  <c r="Z27" i="76"/>
  <c r="Q27" i="76"/>
  <c r="J27" i="76"/>
  <c r="AC27" i="76"/>
  <c r="H27" i="76"/>
  <c r="AB27" i="76"/>
  <c r="F27" i="76"/>
  <c r="AA27" i="76"/>
  <c r="C27" i="76"/>
  <c r="Z25" i="76"/>
  <c r="Q25" i="76"/>
  <c r="J25" i="76"/>
  <c r="AC25" i="76"/>
  <c r="C25" i="76"/>
  <c r="Z23" i="76"/>
  <c r="Q23" i="76"/>
  <c r="J23" i="76"/>
  <c r="AC23" i="76"/>
  <c r="H23" i="76"/>
  <c r="U23" i="76"/>
  <c r="F23" i="76"/>
  <c r="AA23" i="76"/>
  <c r="C23" i="76"/>
  <c r="Z21" i="76"/>
  <c r="Q21" i="76"/>
  <c r="J21" i="76"/>
  <c r="AC21" i="76"/>
  <c r="H21" i="76"/>
  <c r="U21" i="76"/>
  <c r="F21" i="76"/>
  <c r="AA21" i="76"/>
  <c r="C21" i="76"/>
  <c r="Z19" i="76"/>
  <c r="Q19" i="76"/>
  <c r="J19" i="76"/>
  <c r="AC19" i="76"/>
  <c r="H19" i="76"/>
  <c r="U19" i="76"/>
  <c r="F19" i="76"/>
  <c r="AA19" i="76"/>
  <c r="C19" i="76"/>
  <c r="AB17" i="76"/>
  <c r="AA17" i="76"/>
  <c r="Q17" i="76"/>
  <c r="Z17" i="76"/>
  <c r="J17" i="76"/>
  <c r="AC17" i="76"/>
  <c r="H17" i="76"/>
  <c r="U17" i="76"/>
  <c r="F17" i="76"/>
  <c r="S17" i="76"/>
  <c r="C17" i="76"/>
  <c r="Z16" i="76"/>
  <c r="U16" i="76"/>
  <c r="Q16" i="76"/>
  <c r="H16" i="76"/>
  <c r="AB16" i="76"/>
  <c r="F16" i="76"/>
  <c r="S16" i="76"/>
  <c r="Q15" i="76"/>
  <c r="Z15" i="76"/>
  <c r="J15" i="76"/>
  <c r="AC15" i="76"/>
  <c r="H15" i="76"/>
  <c r="AB15" i="76"/>
  <c r="F15" i="76"/>
  <c r="AA15" i="76"/>
  <c r="Q14" i="76"/>
  <c r="Z14" i="76"/>
  <c r="J14" i="76"/>
  <c r="AC14" i="76"/>
  <c r="H14" i="76"/>
  <c r="AB14" i="76"/>
  <c r="F14" i="76"/>
  <c r="AA14" i="76"/>
  <c r="Q13" i="76"/>
  <c r="Z13" i="76"/>
  <c r="H13" i="76"/>
  <c r="AB13" i="76"/>
  <c r="F13" i="76"/>
  <c r="AA13" i="76"/>
  <c r="Q12" i="76"/>
  <c r="Z12" i="76"/>
  <c r="Q11" i="76"/>
  <c r="Z11" i="76"/>
  <c r="J11" i="76"/>
  <c r="AC11" i="76"/>
  <c r="H11" i="76"/>
  <c r="AB11" i="76"/>
  <c r="F11" i="76"/>
  <c r="AA11" i="76"/>
  <c r="AC10" i="76"/>
  <c r="AB10" i="76"/>
  <c r="U10" i="76"/>
  <c r="S10" i="76"/>
  <c r="J10" i="76"/>
  <c r="W10" i="76"/>
  <c r="H10" i="76"/>
  <c r="F10" i="76"/>
  <c r="AA10" i="76"/>
  <c r="D54" i="37"/>
  <c r="D53" i="37"/>
  <c r="E53" i="37"/>
  <c r="F53" i="37"/>
  <c r="G53" i="37"/>
  <c r="H53" i="37"/>
  <c r="I53" i="37"/>
  <c r="J53" i="37"/>
  <c r="K53" i="37"/>
  <c r="E54" i="37"/>
  <c r="F54" i="37"/>
  <c r="G54" i="37"/>
  <c r="H54" i="37"/>
  <c r="I54" i="37"/>
  <c r="J54" i="37"/>
  <c r="K54" i="37"/>
  <c r="L54" i="37"/>
  <c r="M54" i="37"/>
  <c r="G84" i="46"/>
  <c r="G85" i="46"/>
  <c r="G86" i="46"/>
  <c r="G87" i="46"/>
  <c r="G88" i="46"/>
  <c r="G89" i="46"/>
  <c r="G90" i="46"/>
  <c r="G83" i="46"/>
  <c r="O67" i="40"/>
  <c r="P67" i="40"/>
  <c r="Q67" i="40"/>
  <c r="R67" i="40"/>
  <c r="S67" i="40"/>
  <c r="T67" i="40"/>
  <c r="U67" i="40"/>
  <c r="V67" i="40"/>
  <c r="W67" i="40"/>
  <c r="X67" i="40"/>
  <c r="Y67" i="40"/>
  <c r="Z67" i="40"/>
  <c r="O66" i="40"/>
  <c r="B59" i="1"/>
  <c r="B29" i="1"/>
  <c r="F19" i="6"/>
  <c r="D33" i="46"/>
  <c r="K11" i="73"/>
  <c r="P7" i="73"/>
  <c r="K6" i="73"/>
  <c r="K5" i="73"/>
  <c r="G27" i="72"/>
  <c r="H27" i="72"/>
  <c r="G26" i="72"/>
  <c r="P24" i="72"/>
  <c r="P23" i="72"/>
  <c r="P22" i="72"/>
  <c r="P21" i="72"/>
  <c r="P20" i="72"/>
  <c r="P19" i="72"/>
  <c r="P18" i="72"/>
  <c r="P17" i="72"/>
  <c r="P16" i="72"/>
  <c r="P15" i="72"/>
  <c r="O14" i="72"/>
  <c r="P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c r="H5" i="72"/>
  <c r="G5" i="72"/>
  <c r="F5" i="72"/>
  <c r="E5" i="72"/>
  <c r="D5" i="72"/>
  <c r="B5" i="72"/>
  <c r="H4" i="72"/>
  <c r="G4" i="72"/>
  <c r="F4" i="72"/>
  <c r="E4" i="72"/>
  <c r="D4" i="72"/>
  <c r="B4" i="72"/>
  <c r="G5" i="37"/>
  <c r="H3" i="72"/>
  <c r="G3" i="72"/>
  <c r="F3" i="72"/>
  <c r="E3" i="72"/>
  <c r="D3" i="72"/>
  <c r="B3" i="72"/>
  <c r="E7" i="76"/>
  <c r="G2" i="72"/>
  <c r="F2" i="72"/>
  <c r="E2" i="72"/>
  <c r="D2" i="72"/>
  <c r="J3" i="72"/>
  <c r="E43" i="76"/>
  <c r="J5" i="72"/>
  <c r="K5" i="72"/>
  <c r="C21" i="72"/>
  <c r="J7" i="72"/>
  <c r="K7" i="72"/>
  <c r="C23" i="72"/>
  <c r="J9" i="72"/>
  <c r="K9" i="72"/>
  <c r="J11" i="72"/>
  <c r="K11" i="72"/>
  <c r="I7" i="76"/>
  <c r="E5" i="37"/>
  <c r="L53" i="37"/>
  <c r="M53" i="37"/>
  <c r="N53" i="37"/>
  <c r="R43" i="76"/>
  <c r="G7" i="76"/>
  <c r="J4" i="72"/>
  <c r="G43" i="76"/>
  <c r="J6" i="72"/>
  <c r="I43" i="76"/>
  <c r="J8" i="72"/>
  <c r="K8" i="72"/>
  <c r="J10" i="72"/>
  <c r="K10" i="72"/>
  <c r="J12" i="72"/>
  <c r="K12" i="72"/>
  <c r="M108" i="76"/>
  <c r="L108" i="76"/>
  <c r="O67" i="76"/>
  <c r="P67" i="76"/>
  <c r="Q67" i="76"/>
  <c r="R67" i="76"/>
  <c r="S67" i="76"/>
  <c r="T67" i="76"/>
  <c r="U67" i="76"/>
  <c r="V67" i="76"/>
  <c r="W67" i="76"/>
  <c r="X67" i="76"/>
  <c r="Y67" i="76"/>
  <c r="Z67" i="76"/>
  <c r="S32" i="76"/>
  <c r="F25" i="76"/>
  <c r="AA25" i="76"/>
  <c r="H25" i="76"/>
  <c r="U25" i="76"/>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c r="J17" i="72"/>
  <c r="B23" i="72"/>
  <c r="K6" i="72"/>
  <c r="C22" i="72"/>
  <c r="G50" i="76"/>
  <c r="H50" i="76"/>
  <c r="B20" i="72"/>
  <c r="E50" i="76"/>
  <c r="F50" i="76"/>
  <c r="K4" i="72"/>
  <c r="C20" i="72"/>
  <c r="I50" i="76"/>
  <c r="J50" i="76"/>
  <c r="V43" i="76"/>
  <c r="S25" i="76"/>
  <c r="AB25" i="76"/>
  <c r="AC40" i="76"/>
  <c r="W40" i="76"/>
  <c r="AC13" i="76"/>
  <c r="W13" i="76"/>
  <c r="AA33" i="76"/>
  <c r="S33" i="76"/>
  <c r="AC33" i="76"/>
  <c r="W33" i="76"/>
  <c r="AB40" i="76"/>
  <c r="U40" i="76"/>
  <c r="G108" i="76"/>
  <c r="C19" i="72"/>
  <c r="K17" i="72"/>
  <c r="H108" i="76"/>
  <c r="K108" i="76"/>
  <c r="I108" i="76"/>
  <c r="J108" i="76"/>
  <c r="AB28" i="70"/>
  <c r="AA28" i="70"/>
  <c r="Z28" i="70"/>
  <c r="N28" i="70"/>
  <c r="M28" i="70"/>
  <c r="L28" i="70"/>
  <c r="I28" i="70"/>
  <c r="AD28" i="70"/>
  <c r="AB29" i="70"/>
  <c r="AA29" i="70"/>
  <c r="Z29" i="70"/>
  <c r="N29" i="70"/>
  <c r="M29" i="70"/>
  <c r="L29" i="70"/>
  <c r="I29" i="70"/>
  <c r="AD6" i="70"/>
  <c r="AC6" i="70"/>
  <c r="AB6" i="70"/>
  <c r="AA6" i="70"/>
  <c r="Z6" i="70"/>
  <c r="Y6" i="70"/>
  <c r="O6" i="70"/>
  <c r="N6" i="70"/>
  <c r="M6" i="70"/>
  <c r="P6" i="70"/>
  <c r="L6" i="70"/>
  <c r="K6" i="70"/>
  <c r="I6" i="70"/>
  <c r="AC7" i="70"/>
  <c r="AB7" i="70"/>
  <c r="AA7" i="70"/>
  <c r="AD7" i="70"/>
  <c r="Z7" i="70"/>
  <c r="Y7" i="70"/>
  <c r="O7" i="70"/>
  <c r="N7" i="70"/>
  <c r="M7" i="70"/>
  <c r="P7" i="70"/>
  <c r="L7" i="70"/>
  <c r="K7" i="70"/>
  <c r="I7" i="70"/>
  <c r="P28" i="70"/>
  <c r="P29" i="70"/>
  <c r="G14" i="65"/>
  <c r="F14" i="65"/>
  <c r="E14" i="65"/>
  <c r="Z30" i="70"/>
  <c r="AA30" i="70"/>
  <c r="AB30" i="70"/>
  <c r="Z31" i="70"/>
  <c r="AA31" i="70"/>
  <c r="AB31" i="70"/>
  <c r="Z32" i="70"/>
  <c r="AA32" i="70"/>
  <c r="AB32" i="70"/>
  <c r="Y8" i="70"/>
  <c r="Z8" i="70"/>
  <c r="AA8" i="70"/>
  <c r="AD8" i="70"/>
  <c r="AB8" i="70"/>
  <c r="AC8" i="70"/>
  <c r="Y9" i="70"/>
  <c r="Z9" i="70"/>
  <c r="AA9" i="70"/>
  <c r="AD9" i="70"/>
  <c r="AB9" i="70"/>
  <c r="AC9" i="70"/>
  <c r="Y10" i="70"/>
  <c r="Z10" i="70"/>
  <c r="AA10" i="70"/>
  <c r="AD10" i="70"/>
  <c r="AB10" i="70"/>
  <c r="AC10" i="70"/>
  <c r="L30" i="70"/>
  <c r="M30" i="70"/>
  <c r="P30" i="70"/>
  <c r="N30" i="70"/>
  <c r="L31" i="70"/>
  <c r="M31" i="70"/>
  <c r="P31" i="70"/>
  <c r="N31" i="70"/>
  <c r="L32" i="70"/>
  <c r="M32" i="70"/>
  <c r="N32" i="70"/>
  <c r="K8" i="70"/>
  <c r="L8" i="70"/>
  <c r="M8" i="70"/>
  <c r="P8" i="70"/>
  <c r="N8" i="70"/>
  <c r="O8" i="70"/>
  <c r="K9" i="70"/>
  <c r="L9" i="70"/>
  <c r="M9" i="70"/>
  <c r="P9" i="70"/>
  <c r="N9" i="70"/>
  <c r="O9" i="70"/>
  <c r="K10" i="70"/>
  <c r="L10" i="70"/>
  <c r="M10" i="70"/>
  <c r="P10" i="70"/>
  <c r="N10" i="70"/>
  <c r="O10" i="70"/>
  <c r="I30" i="70"/>
  <c r="I31" i="70"/>
  <c r="I32" i="70"/>
  <c r="I8" i="70"/>
  <c r="I9" i="70"/>
  <c r="I10" i="70"/>
  <c r="P32"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c r="Z17" i="70"/>
  <c r="Y17" i="70"/>
  <c r="AD16" i="70"/>
  <c r="AC16" i="70"/>
  <c r="AB16" i="70"/>
  <c r="AA16" i="70"/>
  <c r="Z16" i="70"/>
  <c r="Y16" i="70"/>
  <c r="AC15" i="70"/>
  <c r="AB15" i="70"/>
  <c r="AA15" i="70"/>
  <c r="AD15" i="70"/>
  <c r="Z15" i="70"/>
  <c r="Y15" i="70"/>
  <c r="AD14" i="70"/>
  <c r="AC14" i="70"/>
  <c r="AB14" i="70"/>
  <c r="AA14" i="70"/>
  <c r="Z14" i="70"/>
  <c r="Y14" i="70"/>
  <c r="AC13" i="70"/>
  <c r="AB13" i="70"/>
  <c r="AA13" i="70"/>
  <c r="AD13" i="70"/>
  <c r="Z13" i="70"/>
  <c r="Y13" i="70"/>
  <c r="AC12" i="70"/>
  <c r="AB12" i="70"/>
  <c r="AA12" i="70"/>
  <c r="AD12" i="70"/>
  <c r="Z12" i="70"/>
  <c r="Y12" i="70"/>
  <c r="AC11" i="70"/>
  <c r="AB11" i="70"/>
  <c r="AB3" i="70"/>
  <c r="AA11" i="70"/>
  <c r="AD11" i="70"/>
  <c r="Z11" i="70"/>
  <c r="Y11" i="70"/>
  <c r="AC5" i="70"/>
  <c r="AB5" i="70"/>
  <c r="AA5" i="70"/>
  <c r="AD5" i="70"/>
  <c r="Z5" i="70"/>
  <c r="Y5" i="70"/>
  <c r="W40" i="70"/>
  <c r="W18" i="70"/>
  <c r="N40" i="70"/>
  <c r="M40" i="70"/>
  <c r="P40" i="70"/>
  <c r="L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U36" i="70"/>
  <c r="M36" i="70"/>
  <c r="P36" i="70"/>
  <c r="L36" i="70"/>
  <c r="S36" i="70"/>
  <c r="I36" i="70"/>
  <c r="AD36" i="70"/>
  <c r="N35" i="70"/>
  <c r="U35" i="70"/>
  <c r="M35" i="70"/>
  <c r="P35" i="70"/>
  <c r="L35" i="70"/>
  <c r="S35" i="70"/>
  <c r="I35" i="70"/>
  <c r="AD35" i="70"/>
  <c r="N34" i="70"/>
  <c r="M34" i="70"/>
  <c r="P34" i="70"/>
  <c r="L34" i="70"/>
  <c r="S34" i="70"/>
  <c r="I34" i="70"/>
  <c r="AD34" i="70"/>
  <c r="N33" i="70"/>
  <c r="M33" i="70"/>
  <c r="L33" i="70"/>
  <c r="I33" i="70"/>
  <c r="N27" i="70"/>
  <c r="M27" i="70"/>
  <c r="P27" i="70"/>
  <c r="L27" i="70"/>
  <c r="I27" i="70"/>
  <c r="AD27" i="70"/>
  <c r="N25" i="70"/>
  <c r="M25" i="70"/>
  <c r="P25" i="70"/>
  <c r="L25" i="70"/>
  <c r="G25" i="70"/>
  <c r="F25" i="70"/>
  <c r="I25" i="70"/>
  <c r="E25" i="70"/>
  <c r="O18" i="70"/>
  <c r="N18" i="70"/>
  <c r="M18" i="70"/>
  <c r="P18" i="70"/>
  <c r="L18" i="70"/>
  <c r="K18" i="70"/>
  <c r="I18" i="70"/>
  <c r="O17" i="70"/>
  <c r="V17" i="70"/>
  <c r="N17" i="70"/>
  <c r="U17" i="70"/>
  <c r="M17" i="70"/>
  <c r="T17" i="70"/>
  <c r="W17" i="70"/>
  <c r="L17" i="70"/>
  <c r="S17" i="70"/>
  <c r="K17" i="70"/>
  <c r="R17" i="70"/>
  <c r="I17" i="70"/>
  <c r="O16" i="70"/>
  <c r="N16" i="70"/>
  <c r="U16" i="70"/>
  <c r="M16" i="70"/>
  <c r="P16" i="70"/>
  <c r="L16" i="70"/>
  <c r="K16" i="70"/>
  <c r="I16" i="70"/>
  <c r="O15" i="70"/>
  <c r="V15" i="70"/>
  <c r="N15" i="70"/>
  <c r="M15" i="70"/>
  <c r="L15" i="70"/>
  <c r="S15" i="70"/>
  <c r="K15" i="70"/>
  <c r="R15" i="70"/>
  <c r="I15" i="70"/>
  <c r="O14" i="70"/>
  <c r="N14" i="70"/>
  <c r="U14" i="70"/>
  <c r="M14" i="70"/>
  <c r="P14" i="70"/>
  <c r="L14" i="70"/>
  <c r="K14" i="70"/>
  <c r="I14" i="70"/>
  <c r="O13" i="70"/>
  <c r="N13" i="70"/>
  <c r="M13" i="70"/>
  <c r="P13" i="70"/>
  <c r="L13" i="70"/>
  <c r="K13" i="70"/>
  <c r="I13" i="70"/>
  <c r="O12" i="70"/>
  <c r="N12" i="70"/>
  <c r="M12" i="70"/>
  <c r="P12" i="70"/>
  <c r="L12" i="70"/>
  <c r="K12" i="70"/>
  <c r="I12" i="70"/>
  <c r="O11" i="70"/>
  <c r="N11" i="70"/>
  <c r="M11" i="70"/>
  <c r="L11" i="70"/>
  <c r="K11" i="70"/>
  <c r="I11"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Z3" i="70"/>
  <c r="E21" i="46"/>
  <c r="K3" i="70"/>
  <c r="O3" i="70"/>
  <c r="R14" i="70"/>
  <c r="V14" i="70"/>
  <c r="T15" i="70"/>
  <c r="W15" i="70"/>
  <c r="R16" i="70"/>
  <c r="V16" i="70"/>
  <c r="S14" i="70"/>
  <c r="U15" i="70"/>
  <c r="S16" i="70"/>
  <c r="S29" i="70"/>
  <c r="S28" i="70"/>
  <c r="U29" i="70"/>
  <c r="U28" i="70"/>
  <c r="T29" i="70"/>
  <c r="W29" i="70"/>
  <c r="T28" i="70"/>
  <c r="W28" i="70"/>
  <c r="P17" i="70"/>
  <c r="AD33" i="70"/>
  <c r="AD30" i="70"/>
  <c r="AD31" i="70"/>
  <c r="AD32" i="70"/>
  <c r="AD29" i="70"/>
  <c r="S7" i="70"/>
  <c r="S6" i="70"/>
  <c r="U7" i="70"/>
  <c r="U6" i="70"/>
  <c r="R7" i="70"/>
  <c r="R6" i="70"/>
  <c r="T7" i="70"/>
  <c r="W7" i="70"/>
  <c r="T6" i="70"/>
  <c r="W6" i="70"/>
  <c r="V7" i="70"/>
  <c r="V6" i="70"/>
  <c r="S30" i="70"/>
  <c r="S31" i="70"/>
  <c r="S32" i="70"/>
  <c r="U32" i="70"/>
  <c r="U30" i="70"/>
  <c r="U31" i="70"/>
  <c r="P33" i="70"/>
  <c r="T31" i="70"/>
  <c r="W31" i="70"/>
  <c r="T32" i="70"/>
  <c r="W32" i="70"/>
  <c r="T30" i="70"/>
  <c r="W30" i="70"/>
  <c r="R9" i="70"/>
  <c r="R8" i="70"/>
  <c r="R10" i="70"/>
  <c r="R5" i="70"/>
  <c r="V9" i="70"/>
  <c r="V10" i="70"/>
  <c r="V8" i="70"/>
  <c r="V5" i="70"/>
  <c r="S10" i="70"/>
  <c r="S9" i="70"/>
  <c r="S8" i="70"/>
  <c r="S5" i="70"/>
  <c r="U9" i="70"/>
  <c r="U8" i="70"/>
  <c r="U10" i="70"/>
  <c r="U5" i="70"/>
  <c r="P11" i="70"/>
  <c r="T5" i="70"/>
  <c r="W5" i="70"/>
  <c r="T8" i="70"/>
  <c r="W8" i="70"/>
  <c r="T9" i="70"/>
  <c r="W9" i="70"/>
  <c r="T10" i="70"/>
  <c r="W10" i="70"/>
  <c r="AB25" i="70"/>
  <c r="T25" i="70"/>
  <c r="W25" i="70"/>
  <c r="Z25" i="70"/>
  <c r="AC3" i="70"/>
  <c r="N3" i="70"/>
  <c r="U12" i="70"/>
  <c r="U13" i="70"/>
  <c r="T35" i="70"/>
  <c r="W35" i="70"/>
  <c r="T36" i="70"/>
  <c r="W36" i="70"/>
  <c r="T38" i="70"/>
  <c r="W38" i="70"/>
  <c r="U27" i="70"/>
  <c r="T37" i="70"/>
  <c r="W37" i="70"/>
  <c r="T39" i="70"/>
  <c r="W39" i="70"/>
  <c r="R12" i="70"/>
  <c r="V12" i="70"/>
  <c r="R13" i="70"/>
  <c r="T13" i="70"/>
  <c r="W13" i="70"/>
  <c r="V13" i="70"/>
  <c r="P15" i="70"/>
  <c r="T14" i="70"/>
  <c r="W14" i="70"/>
  <c r="T16" i="70"/>
  <c r="W16" i="70"/>
  <c r="AA25" i="70"/>
  <c r="AD25" i="70"/>
  <c r="L3" i="70"/>
  <c r="Y3" i="70"/>
  <c r="U25" i="70"/>
  <c r="S33" i="70"/>
  <c r="T34" i="70"/>
  <c r="W34" i="70"/>
  <c r="S27" i="70"/>
  <c r="T33" i="70"/>
  <c r="W33" i="70"/>
  <c r="U34" i="70"/>
  <c r="S25" i="70"/>
  <c r="T27" i="70"/>
  <c r="W27" i="70"/>
  <c r="U33" i="70"/>
  <c r="S11" i="70"/>
  <c r="AA3" i="70"/>
  <c r="AD3" i="70"/>
  <c r="S13" i="70"/>
  <c r="S3" i="70"/>
  <c r="T11" i="70"/>
  <c r="W11" i="70"/>
  <c r="S12" i="70"/>
  <c r="T3" i="70"/>
  <c r="W3" i="70"/>
  <c r="U11" i="70"/>
  <c r="T12" i="70"/>
  <c r="W12" i="70"/>
  <c r="U3" i="70"/>
  <c r="R11" i="70"/>
  <c r="V11" i="70"/>
  <c r="R3" i="70"/>
  <c r="V3" i="70"/>
  <c r="M3" i="70"/>
  <c r="P3" i="70"/>
  <c r="E25" i="69"/>
  <c r="E24" i="69"/>
  <c r="F23" i="69"/>
  <c r="F24" i="69"/>
  <c r="F25" i="69"/>
  <c r="E23" i="69"/>
  <c r="E22" i="69"/>
  <c r="G22" i="69"/>
  <c r="F12" i="69"/>
  <c r="F11" i="69"/>
  <c r="C18" i="69"/>
  <c r="D7" i="69"/>
  <c r="D6" i="69"/>
  <c r="D5" i="69"/>
  <c r="C15" i="69"/>
  <c r="G24" i="69"/>
  <c r="G23" i="69"/>
  <c r="G25" i="69"/>
  <c r="B15" i="69"/>
  <c r="B18" i="69"/>
  <c r="G16" i="65"/>
  <c r="F16" i="65"/>
  <c r="E16" i="65"/>
  <c r="G17" i="65"/>
  <c r="F17" i="65"/>
  <c r="E17"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c r="K3" i="59"/>
  <c r="AG3" i="59"/>
  <c r="J3" i="59"/>
  <c r="AE3" i="59"/>
  <c r="AF3" i="59"/>
  <c r="I3" i="59"/>
  <c r="AD3" i="59"/>
  <c r="AH22" i="59"/>
  <c r="AG22" i="59"/>
  <c r="AE22" i="59"/>
  <c r="AF22" i="59"/>
  <c r="AD22" i="59"/>
  <c r="Q22" i="59"/>
  <c r="AB13"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E25" i="59"/>
  <c r="O25" i="59"/>
  <c r="N25" i="59"/>
  <c r="B25" i="59"/>
  <c r="N26" i="59"/>
  <c r="Q26" i="59"/>
  <c r="P26" i="59"/>
  <c r="O26" i="59"/>
  <c r="K59" i="15"/>
  <c r="Q74" i="44"/>
  <c r="Q61" i="44"/>
  <c r="Q60" i="44"/>
  <c r="Q53" i="44"/>
  <c r="J51" i="44"/>
  <c r="J52" i="44"/>
  <c r="M48" i="44"/>
  <c r="A16" i="55"/>
  <c r="A15" i="55"/>
  <c r="B66" i="63"/>
  <c r="A10" i="55"/>
  <c r="B61" i="63"/>
  <c r="A9" i="55"/>
  <c r="B60" i="63"/>
  <c r="A8" i="55"/>
  <c r="B59" i="63"/>
  <c r="A6" i="54"/>
  <c r="B49" i="63"/>
  <c r="A8" i="54"/>
  <c r="A7" i="54"/>
  <c r="A27" i="51"/>
  <c r="B20" i="63"/>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c r="E24" i="59"/>
  <c r="E23" i="59"/>
  <c r="E22" i="59"/>
  <c r="E21" i="59"/>
  <c r="E20" i="59"/>
  <c r="E19" i="59"/>
  <c r="E18" i="59"/>
  <c r="F25" i="59"/>
  <c r="V25" i="59"/>
  <c r="U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3" i="59"/>
  <c r="S2" i="31"/>
  <c r="M2" i="31"/>
  <c r="N2" i="31"/>
  <c r="O2" i="31"/>
  <c r="P2" i="31"/>
  <c r="Q2" i="31"/>
  <c r="R2" i="31"/>
  <c r="C25" i="59"/>
  <c r="C24" i="59"/>
  <c r="C3" i="65"/>
  <c r="C1" i="65"/>
  <c r="N1" i="65"/>
  <c r="T25" i="59"/>
  <c r="D25" i="59"/>
  <c r="B76" i="63"/>
  <c r="M5" i="54"/>
  <c r="B41" i="63"/>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s="1"/>
  <c r="C55" i="10"/>
  <c r="C54" i="10"/>
  <c r="B44" i="63"/>
  <c r="B40" i="63"/>
  <c r="B30" i="63"/>
  <c r="B27" i="63"/>
  <c r="B25" i="63"/>
  <c r="A11" i="51"/>
  <c r="B10" i="63"/>
  <c r="K39" i="9"/>
  <c r="K40" i="9"/>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Q29" i="59"/>
  <c r="F29" i="59"/>
  <c r="V29" i="59"/>
  <c r="P29" i="59"/>
  <c r="O29" i="59"/>
  <c r="C29" i="59"/>
  <c r="T29" i="59"/>
  <c r="N29" i="59"/>
  <c r="B29" i="59"/>
  <c r="S29" i="59"/>
  <c r="D90" i="59"/>
  <c r="F89" i="59"/>
  <c r="E89" i="59"/>
  <c r="E88" i="59"/>
  <c r="E87" i="59"/>
  <c r="C89" i="59"/>
  <c r="D89" i="59"/>
  <c r="B89" i="59"/>
  <c r="B88" i="59"/>
  <c r="B87" i="59"/>
  <c r="F88" i="59"/>
  <c r="F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B72" i="59"/>
  <c r="B71" i="59"/>
  <c r="Q71" i="59"/>
  <c r="P71" i="59"/>
  <c r="O71" i="59"/>
  <c r="N71" i="59"/>
  <c r="Q70" i="59"/>
  <c r="P70" i="59"/>
  <c r="O70" i="59"/>
  <c r="N70" i="59"/>
  <c r="D70" i="59"/>
  <c r="F69" i="59"/>
  <c r="V69" i="59"/>
  <c r="E69" i="59"/>
  <c r="E68" i="59"/>
  <c r="P68" i="59"/>
  <c r="C69" i="59"/>
  <c r="B69" i="59"/>
  <c r="N69" i="59"/>
  <c r="F68" i="59"/>
  <c r="F67" i="59"/>
  <c r="B68" i="59"/>
  <c r="B67" i="59"/>
  <c r="D66" i="59"/>
  <c r="Q65" i="59"/>
  <c r="P65" i="59"/>
  <c r="O65" i="59"/>
  <c r="N65" i="59"/>
  <c r="Q64" i="59"/>
  <c r="P64" i="59"/>
  <c r="O64" i="59"/>
  <c r="N64" i="59"/>
  <c r="Q63" i="59"/>
  <c r="P63" i="59"/>
  <c r="O63" i="59"/>
  <c r="N63" i="59"/>
  <c r="Q62" i="59"/>
  <c r="F63" i="59"/>
  <c r="F64" i="59"/>
  <c r="F65" i="59"/>
  <c r="V65" i="59"/>
  <c r="P62" i="59"/>
  <c r="E63"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O50" i="59"/>
  <c r="C51" i="59"/>
  <c r="N50" i="59"/>
  <c r="B51" i="59"/>
  <c r="B52" i="59"/>
  <c r="D50" i="59"/>
  <c r="T49" i="59"/>
  <c r="Q49" i="59"/>
  <c r="P49" i="59"/>
  <c r="O49" i="59"/>
  <c r="N49" i="59"/>
  <c r="D49" i="59"/>
  <c r="Q48" i="59"/>
  <c r="P48" i="59"/>
  <c r="O48" i="59"/>
  <c r="N48" i="59"/>
  <c r="Q47" i="59"/>
  <c r="P47" i="59"/>
  <c r="O47" i="59"/>
  <c r="N47" i="59"/>
  <c r="B48" i="59"/>
  <c r="B49" i="59"/>
  <c r="S49" i="59"/>
  <c r="Q46" i="59"/>
  <c r="F47" i="59"/>
  <c r="P46" i="59"/>
  <c r="E47" i="59"/>
  <c r="E48" i="59"/>
  <c r="E49" i="59"/>
  <c r="U49" i="59"/>
  <c r="O46" i="59"/>
  <c r="C47" i="59"/>
  <c r="C48" i="59"/>
  <c r="D48" i="59"/>
  <c r="N46" i="59"/>
  <c r="B47" i="59"/>
  <c r="D46" i="59"/>
  <c r="Q45" i="59"/>
  <c r="P45" i="59"/>
  <c r="O45" i="59"/>
  <c r="N45" i="59"/>
  <c r="Q44" i="59"/>
  <c r="P44" i="59"/>
  <c r="O44" i="59"/>
  <c r="N44" i="59"/>
  <c r="Q43" i="59"/>
  <c r="P43" i="59"/>
  <c r="O43" i="59"/>
  <c r="N43" i="59"/>
  <c r="B44" i="59"/>
  <c r="B45" i="59"/>
  <c r="Q42" i="59"/>
  <c r="F43" i="59"/>
  <c r="P42" i="59"/>
  <c r="E43" i="59"/>
  <c r="E44" i="59"/>
  <c r="E45" i="59"/>
  <c r="U45" i="59"/>
  <c r="O42" i="59"/>
  <c r="C43" i="59"/>
  <c r="D43" i="59"/>
  <c r="N42" i="59"/>
  <c r="B43" i="59"/>
  <c r="S45" i="59"/>
  <c r="D42" i="59"/>
  <c r="Q41" i="59"/>
  <c r="P41" i="59"/>
  <c r="O41" i="59"/>
  <c r="N41" i="59"/>
  <c r="Q40" i="59"/>
  <c r="AB40" i="59"/>
  <c r="P40" i="59"/>
  <c r="O40" i="59"/>
  <c r="Y40" i="59"/>
  <c r="Z40" i="59"/>
  <c r="N40" i="59"/>
  <c r="Q39" i="59"/>
  <c r="P39" i="59"/>
  <c r="O39" i="59"/>
  <c r="Y39" i="59"/>
  <c r="Z39" i="59"/>
  <c r="N39" i="59"/>
  <c r="Q38" i="59"/>
  <c r="AB38" i="59"/>
  <c r="F39" i="59"/>
  <c r="P38" i="59"/>
  <c r="E39" i="59"/>
  <c r="E40" i="59"/>
  <c r="O38" i="59"/>
  <c r="Y38" i="59"/>
  <c r="Z38" i="59"/>
  <c r="C39" i="59"/>
  <c r="N38" i="59"/>
  <c r="X38" i="59"/>
  <c r="B39" i="59"/>
  <c r="B40" i="59"/>
  <c r="B41" i="59"/>
  <c r="S41" i="59"/>
  <c r="D38" i="59"/>
  <c r="Q37" i="59"/>
  <c r="P37" i="59"/>
  <c r="O37" i="59"/>
  <c r="Y37" i="59"/>
  <c r="Z37" i="59"/>
  <c r="N37" i="59"/>
  <c r="Q36" i="59"/>
  <c r="AB36" i="59"/>
  <c r="P36" i="59"/>
  <c r="O36" i="59"/>
  <c r="Y36" i="59"/>
  <c r="Z36" i="59"/>
  <c r="N36" i="59"/>
  <c r="Q35" i="59"/>
  <c r="AB35" i="59"/>
  <c r="P35" i="59"/>
  <c r="AA35" i="59"/>
  <c r="O35" i="59"/>
  <c r="Y35" i="59"/>
  <c r="Z35" i="59"/>
  <c r="N35" i="59"/>
  <c r="Q34" i="59"/>
  <c r="F35" i="59"/>
  <c r="P34" i="59"/>
  <c r="O34" i="59"/>
  <c r="N34" i="59"/>
  <c r="X34" i="59"/>
  <c r="B35" i="59"/>
  <c r="B36" i="59"/>
  <c r="B37" i="59"/>
  <c r="S37" i="59"/>
  <c r="D34" i="59"/>
  <c r="Q33" i="59"/>
  <c r="P33" i="59"/>
  <c r="O33" i="59"/>
  <c r="N33" i="59"/>
  <c r="X33" i="59"/>
  <c r="Q32" i="59"/>
  <c r="AB32" i="59"/>
  <c r="P32" i="59"/>
  <c r="O32" i="59"/>
  <c r="N32" i="59"/>
  <c r="Q31" i="59"/>
  <c r="AB31" i="59"/>
  <c r="P31" i="59"/>
  <c r="O31" i="59"/>
  <c r="N31" i="59"/>
  <c r="X25" i="59"/>
  <c r="Q30" i="59"/>
  <c r="F31" i="59"/>
  <c r="P30" i="59"/>
  <c r="O30" i="59"/>
  <c r="N30" i="59"/>
  <c r="B31" i="59"/>
  <c r="D30" i="59"/>
  <c r="X29" i="59"/>
  <c r="Y26" i="59"/>
  <c r="Z26" i="59"/>
  <c r="AB3" i="59"/>
  <c r="AB27" i="59"/>
  <c r="B32" i="59"/>
  <c r="B33" i="59"/>
  <c r="S33" i="59"/>
  <c r="E31" i="59"/>
  <c r="E32" i="59"/>
  <c r="E33" i="59"/>
  <c r="U33" i="59"/>
  <c r="B53" i="59"/>
  <c r="S53" i="59"/>
  <c r="U53" i="59"/>
  <c r="S69" i="59"/>
  <c r="F32" i="59"/>
  <c r="F33" i="59"/>
  <c r="V33" i="59"/>
  <c r="F36" i="59"/>
  <c r="F37" i="59"/>
  <c r="V37" i="59"/>
  <c r="F40" i="59"/>
  <c r="F41" i="59"/>
  <c r="V41" i="59"/>
  <c r="F44" i="59"/>
  <c r="F45" i="59"/>
  <c r="V45" i="59"/>
  <c r="F48" i="59"/>
  <c r="F49" i="59"/>
  <c r="V49" i="59"/>
  <c r="F57" i="59"/>
  <c r="V57" i="59"/>
  <c r="F60" i="59"/>
  <c r="F61" i="59"/>
  <c r="V61" i="59"/>
  <c r="C44" i="59"/>
  <c r="D47" i="59"/>
  <c r="C52" i="59"/>
  <c r="D51" i="59"/>
  <c r="C56" i="59"/>
  <c r="D55" i="59"/>
  <c r="C64" i="59"/>
  <c r="D63" i="59"/>
  <c r="E67" i="59"/>
  <c r="N68" i="59"/>
  <c r="Q68" i="59"/>
  <c r="T69" i="59"/>
  <c r="O69" i="59"/>
  <c r="D69" i="59"/>
  <c r="C68" i="59"/>
  <c r="C67" i="59"/>
  <c r="P69" i="59"/>
  <c r="U69" i="59"/>
  <c r="Q69" i="59"/>
  <c r="C72" i="59"/>
  <c r="C71" i="59"/>
  <c r="E72" i="59"/>
  <c r="E71" i="59"/>
  <c r="D73" i="59"/>
  <c r="C76" i="59"/>
  <c r="D76" i="59"/>
  <c r="E76" i="59"/>
  <c r="E75" i="59"/>
  <c r="D77" i="59"/>
  <c r="E80" i="59"/>
  <c r="E79" i="59"/>
  <c r="C88" i="59"/>
  <c r="U16" i="4"/>
  <c r="S16" i="4"/>
  <c r="Q16" i="4"/>
  <c r="P16" i="4"/>
  <c r="O16" i="4"/>
  <c r="M16" i="4"/>
  <c r="K16" i="4"/>
  <c r="P66" i="59"/>
  <c r="P67" i="59"/>
  <c r="D88" i="59"/>
  <c r="C87" i="59"/>
  <c r="D87" i="59"/>
  <c r="D72" i="59"/>
  <c r="D71" i="59"/>
  <c r="O68" i="59"/>
  <c r="C75" i="59"/>
  <c r="D75" i="59"/>
  <c r="C65" i="59"/>
  <c r="D65" i="59"/>
  <c r="D64" i="59"/>
  <c r="C57" i="59"/>
  <c r="D57" i="59"/>
  <c r="D56" i="59"/>
  <c r="C53" i="59"/>
  <c r="D53" i="59"/>
  <c r="D52" i="59"/>
  <c r="T53" i="59"/>
  <c r="T57" i="59"/>
  <c r="T65"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D77" i="37"/>
  <c r="E77" i="37"/>
  <c r="F77" i="37"/>
  <c r="G77" i="37"/>
  <c r="Z21" i="34"/>
  <c r="Q21" i="34"/>
  <c r="C21" i="34"/>
  <c r="D84" i="34"/>
  <c r="F21" i="34"/>
  <c r="Z21" i="33"/>
  <c r="Q21" i="33"/>
  <c r="C21" i="33"/>
  <c r="D83" i="33"/>
  <c r="E83" i="33"/>
  <c r="F83" i="33"/>
  <c r="G83" i="33"/>
  <c r="Z21" i="21"/>
  <c r="Q21" i="21"/>
  <c r="D83" i="21"/>
  <c r="E83" i="21"/>
  <c r="F83" i="21"/>
  <c r="G83" i="21"/>
  <c r="F21" i="21"/>
  <c r="AA21" i="21"/>
  <c r="C21" i="21"/>
  <c r="Q27" i="40"/>
  <c r="Z27" i="40"/>
  <c r="D95" i="40"/>
  <c r="E95" i="40"/>
  <c r="F95" i="40"/>
  <c r="F27" i="40"/>
  <c r="AA27" i="40"/>
  <c r="Q31" i="39"/>
  <c r="Z31" i="39"/>
  <c r="D104" i="39"/>
  <c r="E104" i="39"/>
  <c r="F104" i="39"/>
  <c r="F31" i="39"/>
  <c r="AA31" i="39"/>
  <c r="G20" i="20"/>
  <c r="C22" i="20"/>
  <c r="B100" i="46"/>
  <c r="B68" i="46"/>
  <c r="S21" i="21"/>
  <c r="S31" i="39"/>
  <c r="C31" i="39"/>
  <c r="B57" i="46"/>
  <c r="B77"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A4" i="51" s="1"/>
  <c r="B6" i="63" s="1"/>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L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G93" i="3"/>
  <c r="H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c r="BB91" i="3"/>
  <c r="AX91" i="3"/>
  <c r="AW91" i="3"/>
  <c r="AV91" i="3"/>
  <c r="AC91" i="3"/>
  <c r="H91" i="3"/>
  <c r="G91" i="3"/>
  <c r="BT90" i="3"/>
  <c r="BS90" i="3"/>
  <c r="BR90" i="3"/>
  <c r="BQ90" i="3"/>
  <c r="BP90" i="3"/>
  <c r="BO90" i="3"/>
  <c r="BN90" i="3"/>
  <c r="BM90" i="3"/>
  <c r="BL90" i="3"/>
  <c r="BK90" i="3"/>
  <c r="BJ90" i="3"/>
  <c r="BI90" i="3"/>
  <c r="BH90" i="3"/>
  <c r="BG90" i="3"/>
  <c r="BF90" i="3"/>
  <c r="BE90" i="3"/>
  <c r="BD90" i="3"/>
  <c r="BA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G89" i="3"/>
  <c r="H89" i="3"/>
  <c r="BT88" i="3"/>
  <c r="BS88" i="3"/>
  <c r="BR88" i="3"/>
  <c r="BQ88" i="3"/>
  <c r="BP88" i="3"/>
  <c r="BO88" i="3"/>
  <c r="BL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Z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G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G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c r="H48" i="3"/>
  <c r="BT47" i="3"/>
  <c r="BS47" i="3"/>
  <c r="BR47" i="3"/>
  <c r="BQ47" i="3"/>
  <c r="BP47" i="3"/>
  <c r="BO47" i="3"/>
  <c r="BL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c r="BM32" i="3"/>
  <c r="BK32" i="3"/>
  <c r="BJ32" i="3"/>
  <c r="BI32" i="3"/>
  <c r="BH32" i="3"/>
  <c r="BG32" i="3"/>
  <c r="BF32" i="3"/>
  <c r="BE32" i="3"/>
  <c r="BD32" i="3"/>
  <c r="BC32" i="3"/>
  <c r="BB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c r="BM28" i="3"/>
  <c r="BK28" i="3"/>
  <c r="BJ28" i="3"/>
  <c r="BI28" i="3"/>
  <c r="BH28" i="3"/>
  <c r="BG28" i="3"/>
  <c r="BF28" i="3"/>
  <c r="BE28" i="3"/>
  <c r="BD28" i="3"/>
  <c r="BC28" i="3"/>
  <c r="BB28" i="3"/>
  <c r="BA28" i="3"/>
  <c r="AX28" i="3"/>
  <c r="AW28" i="3"/>
  <c r="AV28" i="3"/>
  <c r="AC28" i="3"/>
  <c r="G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L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L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L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L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AZ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AZ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AZ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G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AZ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L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L214" i="3"/>
  <c r="BN214" i="3"/>
  <c r="BM214" i="3"/>
  <c r="BK214" i="3"/>
  <c r="BJ214" i="3"/>
  <c r="BI214" i="3"/>
  <c r="BH214" i="3"/>
  <c r="BG214" i="3"/>
  <c r="BF214" i="3"/>
  <c r="BE214" i="3"/>
  <c r="BD214" i="3"/>
  <c r="BC214" i="3"/>
  <c r="BB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A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G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A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L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s="1"/>
  <c r="T16" i="4"/>
  <c r="D14" i="4"/>
  <c r="M4" i="9"/>
  <c r="A30" i="64" s="1"/>
  <c r="L4" i="9"/>
  <c r="G36" i="4"/>
  <c r="K2" i="54"/>
  <c r="B23" i="63"/>
  <c r="A3" i="51"/>
  <c r="R41" i="4"/>
  <c r="Q41" i="4"/>
  <c r="P41" i="4"/>
  <c r="O41" i="4"/>
  <c r="N41" i="4"/>
  <c r="M41" i="4"/>
  <c r="L41" i="4"/>
  <c r="K40" i="4"/>
  <c r="T40" i="4"/>
  <c r="F23" i="4"/>
  <c r="I19" i="4"/>
  <c r="F10" i="1"/>
  <c r="C24" i="46"/>
  <c r="H19" i="4"/>
  <c r="F9" i="1"/>
  <c r="AP9" i="1" s="1"/>
  <c r="G19" i="4"/>
  <c r="F19" i="4"/>
  <c r="F11" i="1"/>
  <c r="AP11" i="1" s="1"/>
  <c r="E19" i="4"/>
  <c r="F8" i="1"/>
  <c r="AP8" i="1" s="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H10" i="40"/>
  <c r="AB10" i="40"/>
  <c r="H11" i="40"/>
  <c r="AB11" i="40"/>
  <c r="J10" i="40"/>
  <c r="AC10" i="40"/>
  <c r="J11" i="40"/>
  <c r="AC11"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G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c r="BF492" i="3"/>
  <c r="BG492" i="3"/>
  <c r="BH492" i="3"/>
  <c r="BI492" i="3"/>
  <c r="BJ492" i="3"/>
  <c r="BK492" i="3"/>
  <c r="BM492" i="3"/>
  <c r="BN492" i="3"/>
  <c r="BO492" i="3"/>
  <c r="BP492" i="3"/>
  <c r="BR492" i="3"/>
  <c r="BS492" i="3"/>
  <c r="BT492" i="3"/>
  <c r="H493" i="3"/>
  <c r="AC493" i="3"/>
  <c r="BB493" i="3"/>
  <c r="BA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L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c r="BE528" i="3"/>
  <c r="BF528" i="3"/>
  <c r="BG528" i="3"/>
  <c r="BH528" i="3"/>
  <c r="BI528" i="3"/>
  <c r="BJ528" i="3"/>
  <c r="BK528" i="3"/>
  <c r="BM528" i="3"/>
  <c r="BN528" i="3"/>
  <c r="BO528" i="3"/>
  <c r="BP528" i="3"/>
  <c r="BR528" i="3"/>
  <c r="BS528" i="3"/>
  <c r="BT528" i="3"/>
  <c r="H529" i="3"/>
  <c r="AC529" i="3"/>
  <c r="G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AZ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L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c r="BF542" i="3"/>
  <c r="BG542" i="3"/>
  <c r="BH542" i="3"/>
  <c r="BI542" i="3"/>
  <c r="BJ542" i="3"/>
  <c r="BK542" i="3"/>
  <c r="BM542" i="3"/>
  <c r="BN542" i="3"/>
  <c r="BL542" i="3"/>
  <c r="BO542" i="3"/>
  <c r="BP542" i="3"/>
  <c r="BR542" i="3"/>
  <c r="BS542" i="3"/>
  <c r="BT542" i="3"/>
  <c r="H543" i="3"/>
  <c r="AC543" i="3"/>
  <c r="G543" i="3"/>
  <c r="BB543" i="3"/>
  <c r="BC543" i="3"/>
  <c r="BD543" i="3"/>
  <c r="BE543" i="3"/>
  <c r="BA543" i="3"/>
  <c r="BF543" i="3"/>
  <c r="BG543" i="3"/>
  <c r="BH543" i="3"/>
  <c r="BI543" i="3"/>
  <c r="BJ543" i="3"/>
  <c r="BK543" i="3"/>
  <c r="BM543" i="3"/>
  <c r="BN543" i="3"/>
  <c r="BL543" i="3"/>
  <c r="AZ543" i="3"/>
  <c r="BO543" i="3"/>
  <c r="BP543" i="3"/>
  <c r="BQ543" i="3"/>
  <c r="BR543" i="3"/>
  <c r="BS543" i="3"/>
  <c r="BT543" i="3"/>
  <c r="H544" i="3"/>
  <c r="AC544" i="3"/>
  <c r="G544" i="3"/>
  <c r="BB544" i="3"/>
  <c r="BC544" i="3"/>
  <c r="BD544" i="3"/>
  <c r="BE544" i="3"/>
  <c r="BA544" i="3"/>
  <c r="BF544" i="3"/>
  <c r="BG544" i="3"/>
  <c r="BH544" i="3"/>
  <c r="BI544" i="3"/>
  <c r="BJ544" i="3"/>
  <c r="BK544" i="3"/>
  <c r="BM544" i="3"/>
  <c r="BN544" i="3"/>
  <c r="BO544" i="3"/>
  <c r="BP544" i="3"/>
  <c r="BR544" i="3"/>
  <c r="BS544" i="3"/>
  <c r="BT544" i="3"/>
  <c r="H545" i="3"/>
  <c r="AC545" i="3"/>
  <c r="BB545" i="3"/>
  <c r="BA545" i="3"/>
  <c r="BC545" i="3"/>
  <c r="BD545" i="3"/>
  <c r="BE545" i="3"/>
  <c r="BF545" i="3"/>
  <c r="BG545" i="3"/>
  <c r="BH545" i="3"/>
  <c r="BI545" i="3"/>
  <c r="BJ545" i="3"/>
  <c r="BK545" i="3"/>
  <c r="BM545" i="3"/>
  <c r="BN545" i="3"/>
  <c r="BO545" i="3"/>
  <c r="BL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A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c r="BO555" i="3"/>
  <c r="BP555" i="3"/>
  <c r="BQ555" i="3"/>
  <c r="BR555" i="3"/>
  <c r="BS555" i="3"/>
  <c r="BT555" i="3"/>
  <c r="H556" i="3"/>
  <c r="AC556" i="3"/>
  <c r="G556" i="3"/>
  <c r="BB556" i="3"/>
  <c r="BC556" i="3"/>
  <c r="BD556" i="3"/>
  <c r="BE556" i="3"/>
  <c r="BA556" i="3"/>
  <c r="BF556" i="3"/>
  <c r="BG556" i="3"/>
  <c r="BH556" i="3"/>
  <c r="BI556" i="3"/>
  <c r="BJ556" i="3"/>
  <c r="BK556" i="3"/>
  <c r="BM556" i="3"/>
  <c r="BN556" i="3"/>
  <c r="BO556" i="3"/>
  <c r="BP556" i="3"/>
  <c r="BR556" i="3"/>
  <c r="BS556" i="3"/>
  <c r="BT556" i="3"/>
  <c r="H557" i="3"/>
  <c r="AC557" i="3"/>
  <c r="BB557" i="3"/>
  <c r="BA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c r="F30" i="36"/>
  <c r="AA30" i="36"/>
  <c r="C26" i="35"/>
  <c r="C79" i="35"/>
  <c r="J31" i="35"/>
  <c r="H31" i="35"/>
  <c r="F31" i="35"/>
  <c r="S31" i="35"/>
  <c r="D87" i="35"/>
  <c r="E87" i="35"/>
  <c r="F87" i="35"/>
  <c r="G87" i="35"/>
  <c r="H87" i="35"/>
  <c r="I87" i="35"/>
  <c r="J87" i="35"/>
  <c r="K87" i="35"/>
  <c r="L87" i="35"/>
  <c r="M87" i="35"/>
  <c r="H34" i="37"/>
  <c r="AB34" i="37"/>
  <c r="D101" i="37"/>
  <c r="E101" i="37"/>
  <c r="F101" i="37"/>
  <c r="F34" i="37"/>
  <c r="D99" i="37"/>
  <c r="E99" i="37"/>
  <c r="F99" i="37"/>
  <c r="G99" i="37"/>
  <c r="H99" i="37"/>
  <c r="I99" i="37"/>
  <c r="J99" i="37"/>
  <c r="K99" i="37"/>
  <c r="L99" i="37"/>
  <c r="M99" i="37"/>
  <c r="H42" i="34"/>
  <c r="U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s="1"/>
  <c r="B121"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s="1"/>
  <c r="D99" i="40"/>
  <c r="E99" i="40"/>
  <c r="F99" i="40"/>
  <c r="D97" i="40"/>
  <c r="E97" i="40"/>
  <c r="B96" i="40"/>
  <c r="D93" i="40"/>
  <c r="E93" i="40"/>
  <c r="D91" i="40"/>
  <c r="D89" i="40"/>
  <c r="H21" i="40"/>
  <c r="AB21" i="40"/>
  <c r="D87" i="40"/>
  <c r="E87" i="40"/>
  <c r="D85" i="40"/>
  <c r="E85" i="40"/>
  <c r="F85" i="40"/>
  <c r="G85" i="40"/>
  <c r="J17" i="40"/>
  <c r="W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J38" i="37"/>
  <c r="C23" i="37"/>
  <c r="C19" i="37"/>
  <c r="C17" i="37"/>
  <c r="C15" i="37"/>
  <c r="B112" i="37"/>
  <c r="D107" i="37"/>
  <c r="E107" i="37"/>
  <c r="F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F26" i="37"/>
  <c r="D79" i="37"/>
  <c r="E79" i="37"/>
  <c r="F79" i="37"/>
  <c r="D75" i="37"/>
  <c r="E75" i="37"/>
  <c r="F75" i="37"/>
  <c r="D73" i="37"/>
  <c r="E73" i="37"/>
  <c r="F73" i="37"/>
  <c r="G73" i="37"/>
  <c r="D71" i="37"/>
  <c r="E71" i="37"/>
  <c r="F71" i="37"/>
  <c r="G71" i="37"/>
  <c r="F15" i="37"/>
  <c r="AA15" i="37"/>
  <c r="B68" i="37"/>
  <c r="H14" i="37"/>
  <c r="B66" i="37"/>
  <c r="B64" i="37"/>
  <c r="J12"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J26" i="37"/>
  <c r="H26" i="37"/>
  <c r="AB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B75" i="36"/>
  <c r="B73" i="36"/>
  <c r="H24" i="36"/>
  <c r="AB24" i="36"/>
  <c r="B71" i="36"/>
  <c r="D70" i="36"/>
  <c r="H22" i="36"/>
  <c r="AB22" i="36"/>
  <c r="D68" i="36"/>
  <c r="E68" i="36"/>
  <c r="D64" i="36"/>
  <c r="E64" i="36"/>
  <c r="F64" i="36"/>
  <c r="G64" i="36"/>
  <c r="J16" i="36"/>
  <c r="D62" i="36"/>
  <c r="E62" i="36"/>
  <c r="B59" i="36"/>
  <c r="J13"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B77" i="35"/>
  <c r="B75" i="35"/>
  <c r="J24" i="35"/>
  <c r="AC24" i="35"/>
  <c r="B73" i="35"/>
  <c r="J23" i="35"/>
  <c r="AC23" i="35"/>
  <c r="B57" i="35"/>
  <c r="B61" i="35"/>
  <c r="B59" i="35"/>
  <c r="F12" i="35"/>
  <c r="AA12" i="35"/>
  <c r="B131" i="34"/>
  <c r="B129" i="34"/>
  <c r="B127" i="34"/>
  <c r="B99" i="34"/>
  <c r="B97" i="34"/>
  <c r="B95" i="34"/>
  <c r="B93" i="34"/>
  <c r="B75" i="34"/>
  <c r="B73" i="34"/>
  <c r="B71" i="34"/>
  <c r="B130" i="33"/>
  <c r="B128" i="33"/>
  <c r="H45" i="33"/>
  <c r="U45" i="33"/>
  <c r="B126" i="33"/>
  <c r="B98" i="33"/>
  <c r="F31" i="33"/>
  <c r="AA31" i="33"/>
  <c r="B96" i="33"/>
  <c r="B94" i="33"/>
  <c r="B74" i="33"/>
  <c r="B72" i="33"/>
  <c r="B70" i="33"/>
  <c r="H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W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AA12" i="33"/>
  <c r="S12" i="33"/>
  <c r="Q11" i="33"/>
  <c r="Z11" i="33"/>
  <c r="Q10" i="33"/>
  <c r="Z10" i="33"/>
  <c r="Q9" i="33"/>
  <c r="Z9" i="33"/>
  <c r="J9" i="33"/>
  <c r="W9" i="33"/>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B76" i="46"/>
  <c r="C20" i="20"/>
  <c r="C18" i="20"/>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F45" i="21"/>
  <c r="S45" i="21"/>
  <c r="B126" i="21"/>
  <c r="B98" i="21"/>
  <c r="B96" i="21"/>
  <c r="B94" i="21"/>
  <c r="H29" i="21"/>
  <c r="B92" i="21"/>
  <c r="B90" i="21"/>
  <c r="B74" i="21"/>
  <c r="B72" i="21"/>
  <c r="J13"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c r="BK13" i="3"/>
  <c r="BM13" i="3"/>
  <c r="BN13" i="3"/>
  <c r="BO13" i="3"/>
  <c r="BO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F39" i="21"/>
  <c r="AA39" i="21"/>
  <c r="J40" i="21"/>
  <c r="W40" i="21"/>
  <c r="H35" i="21"/>
  <c r="AB35" i="21"/>
  <c r="J8" i="21"/>
  <c r="AC8" i="21"/>
  <c r="H8" i="21"/>
  <c r="H10" i="21"/>
  <c r="U10" i="21"/>
  <c r="H39" i="21"/>
  <c r="AB39" i="21"/>
  <c r="J34" i="21"/>
  <c r="W34" i="21"/>
  <c r="H36" i="21"/>
  <c r="U36" i="21"/>
  <c r="F35" i="21"/>
  <c r="S35" i="21"/>
  <c r="AA35" i="21"/>
  <c r="J33" i="21"/>
  <c r="W33" i="21"/>
  <c r="H33" i="21"/>
  <c r="U33" i="21"/>
  <c r="F33" i="21"/>
  <c r="J10" i="21"/>
  <c r="AC10" i="21"/>
  <c r="H26" i="21"/>
  <c r="U26" i="21"/>
  <c r="F19" i="21"/>
  <c r="H19" i="21"/>
  <c r="AB19" i="21"/>
  <c r="J19" i="21"/>
  <c r="W19" i="21"/>
  <c r="J12" i="21"/>
  <c r="AC12" i="21"/>
  <c r="H12" i="21"/>
  <c r="U12" i="21"/>
  <c r="J26" i="21"/>
  <c r="W26" i="21"/>
  <c r="F26" i="21"/>
  <c r="AA26" i="21"/>
  <c r="AB41" i="21"/>
  <c r="S41" i="21"/>
  <c r="AA41" i="21"/>
  <c r="W41" i="21"/>
  <c r="S10" i="39"/>
  <c r="U30" i="37"/>
  <c r="E103" i="37"/>
  <c r="F103" i="37"/>
  <c r="G103" i="37"/>
  <c r="H103" i="37"/>
  <c r="I103" i="37"/>
  <c r="J103" i="37"/>
  <c r="K103" i="37"/>
  <c r="L103" i="37"/>
  <c r="M103" i="37"/>
  <c r="F39" i="37"/>
  <c r="S39" i="37"/>
  <c r="F29" i="36"/>
  <c r="AA29" i="36"/>
  <c r="F16" i="36"/>
  <c r="AA16" i="36"/>
  <c r="U22" i="36"/>
  <c r="W23" i="36"/>
  <c r="W22" i="36"/>
  <c r="U26" i="36"/>
  <c r="AC31" i="36"/>
  <c r="J33" i="36"/>
  <c r="AC33" i="36"/>
  <c r="AC27" i="35"/>
  <c r="U31" i="35"/>
  <c r="W36" i="35"/>
  <c r="W31" i="35"/>
  <c r="U34" i="35"/>
  <c r="F36" i="34"/>
  <c r="S36" i="34"/>
  <c r="W9" i="34"/>
  <c r="S34" i="34"/>
  <c r="H39" i="33"/>
  <c r="AB39" i="33"/>
  <c r="F26" i="33"/>
  <c r="AA26" i="33"/>
  <c r="U33" i="33"/>
  <c r="W38" i="33"/>
  <c r="S33" i="33"/>
  <c r="W33" i="33"/>
  <c r="U38" i="33"/>
  <c r="S8" i="21"/>
  <c r="W8" i="21"/>
  <c r="H39" i="37"/>
  <c r="AB39" i="37"/>
  <c r="AB27" i="35"/>
  <c r="W10" i="40"/>
  <c r="U11" i="40"/>
  <c r="S40" i="39"/>
  <c r="F11" i="21"/>
  <c r="S11" i="21"/>
  <c r="AC40" i="21"/>
  <c r="AA38" i="21"/>
  <c r="AB36" i="21"/>
  <c r="AC35" i="21"/>
  <c r="C29" i="39"/>
  <c r="U36" i="39"/>
  <c r="H32" i="33"/>
  <c r="U32" i="33"/>
  <c r="AB32" i="33"/>
  <c r="H11" i="21"/>
  <c r="U11" i="21"/>
  <c r="J11" i="21"/>
  <c r="W11" i="21"/>
  <c r="J27" i="36"/>
  <c r="W27"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AA35" i="37"/>
  <c r="G101" i="37"/>
  <c r="H101" i="37"/>
  <c r="I101" i="37"/>
  <c r="J101" i="37"/>
  <c r="K101" i="37"/>
  <c r="L101" i="37"/>
  <c r="M101" i="37"/>
  <c r="J34" i="37"/>
  <c r="W34" i="37"/>
  <c r="H43" i="34"/>
  <c r="E114" i="34"/>
  <c r="F114" i="34"/>
  <c r="G114" i="34"/>
  <c r="H36" i="34"/>
  <c r="F37" i="34"/>
  <c r="AA37" i="34"/>
  <c r="F33" i="34"/>
  <c r="S33" i="34"/>
  <c r="AA28" i="34"/>
  <c r="F19" i="34"/>
  <c r="AA19" i="34"/>
  <c r="J10" i="34"/>
  <c r="AC10" i="34"/>
  <c r="U9" i="34"/>
  <c r="W8" i="34"/>
  <c r="J28" i="34"/>
  <c r="W28" i="34"/>
  <c r="E113" i="33"/>
  <c r="F113" i="33"/>
  <c r="G113" i="33"/>
  <c r="H113" i="33"/>
  <c r="I113" i="33"/>
  <c r="J113" i="33"/>
  <c r="K113" i="33"/>
  <c r="L113" i="33"/>
  <c r="M113" i="33"/>
  <c r="F36" i="33"/>
  <c r="S36" i="33"/>
  <c r="F19" i="33"/>
  <c r="S19" i="33"/>
  <c r="J19" i="33"/>
  <c r="S10" i="21"/>
  <c r="W40" i="33"/>
  <c r="F125" i="21"/>
  <c r="G125" i="21"/>
  <c r="AB30" i="36"/>
  <c r="S22" i="35"/>
  <c r="H29" i="35"/>
  <c r="U34" i="37"/>
  <c r="S34" i="37"/>
  <c r="AA34" i="37"/>
  <c r="AB40" i="34"/>
  <c r="W36" i="34"/>
  <c r="J19" i="34"/>
  <c r="AC19" i="34"/>
  <c r="H37" i="33"/>
  <c r="AB37" i="33"/>
  <c r="S37" i="33"/>
  <c r="AC42" i="34"/>
  <c r="W42" i="34"/>
  <c r="AA42" i="34"/>
  <c r="S42"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F30" i="21"/>
  <c r="S30" i="21"/>
  <c r="J30" i="21"/>
  <c r="W30" i="21"/>
  <c r="J44" i="21"/>
  <c r="AC44" i="21"/>
  <c r="H44" i="21"/>
  <c r="U44" i="21"/>
  <c r="F44" i="21"/>
  <c r="AA44" i="21"/>
  <c r="H46" i="21"/>
  <c r="AB46" i="21"/>
  <c r="J46" i="21"/>
  <c r="W46" i="21"/>
  <c r="F46" i="21"/>
  <c r="S46" i="21"/>
  <c r="H26" i="33"/>
  <c r="U26" i="33"/>
  <c r="H28" i="33"/>
  <c r="U28" i="33"/>
  <c r="F28" i="33"/>
  <c r="J28" i="33"/>
  <c r="W28" i="33"/>
  <c r="F33" i="35"/>
  <c r="S33" i="35"/>
  <c r="J33" i="35"/>
  <c r="W33" i="35"/>
  <c r="F30" i="35"/>
  <c r="AA30" i="35"/>
  <c r="E89" i="35"/>
  <c r="F89" i="35"/>
  <c r="G89" i="35"/>
  <c r="H89" i="35"/>
  <c r="I89" i="35"/>
  <c r="J89" i="35"/>
  <c r="K89" i="35"/>
  <c r="L89" i="35"/>
  <c r="M89" i="35"/>
  <c r="H10" i="36"/>
  <c r="AB10" i="36"/>
  <c r="F28" i="36"/>
  <c r="S28" i="36"/>
  <c r="F27" i="36"/>
  <c r="S27" i="36"/>
  <c r="H13" i="21"/>
  <c r="AC13" i="21"/>
  <c r="F13" i="21"/>
  <c r="AA13" i="21"/>
  <c r="H27" i="21"/>
  <c r="AB27" i="21"/>
  <c r="J27" i="21"/>
  <c r="W27" i="21"/>
  <c r="F27" i="21"/>
  <c r="AA27" i="21"/>
  <c r="J29" i="21"/>
  <c r="AC29" i="21"/>
  <c r="U29" i="21"/>
  <c r="F29" i="21"/>
  <c r="S29" i="21"/>
  <c r="J31" i="21"/>
  <c r="AC31" i="21"/>
  <c r="H31" i="21"/>
  <c r="U31" i="21"/>
  <c r="F31" i="21"/>
  <c r="S31" i="21"/>
  <c r="J45" i="21"/>
  <c r="AA45" i="21"/>
  <c r="H45" i="21"/>
  <c r="U45" i="21"/>
  <c r="F27" i="33"/>
  <c r="S27" i="33"/>
  <c r="F13" i="33"/>
  <c r="AA13" i="33"/>
  <c r="S13" i="33"/>
  <c r="J29" i="33"/>
  <c r="H31" i="33"/>
  <c r="J45" i="33"/>
  <c r="AC45" i="33"/>
  <c r="W45" i="33"/>
  <c r="F45" i="33"/>
  <c r="S45" i="33"/>
  <c r="F11" i="35"/>
  <c r="S11" i="35"/>
  <c r="H28" i="36"/>
  <c r="U28" i="36"/>
  <c r="H32" i="36"/>
  <c r="AB32" i="36"/>
  <c r="J32" i="36"/>
  <c r="J11" i="36"/>
  <c r="W11" i="36"/>
  <c r="H13" i="36"/>
  <c r="AB13" i="36"/>
  <c r="W13" i="36"/>
  <c r="F13" i="36"/>
  <c r="S13" i="36"/>
  <c r="E89" i="37"/>
  <c r="F89" i="37"/>
  <c r="G89" i="37"/>
  <c r="H89" i="37"/>
  <c r="I89" i="37"/>
  <c r="J89" i="37"/>
  <c r="K89" i="37"/>
  <c r="L89" i="37"/>
  <c r="M89" i="37"/>
  <c r="J29" i="37"/>
  <c r="W29" i="37"/>
  <c r="F29" i="37"/>
  <c r="AA29" i="37"/>
  <c r="AB36" i="37"/>
  <c r="J37" i="37"/>
  <c r="AC37" i="37"/>
  <c r="H37" i="37"/>
  <c r="U37" i="37"/>
  <c r="H40" i="37"/>
  <c r="U40" i="37"/>
  <c r="J40" i="37"/>
  <c r="AC40" i="37"/>
  <c r="F40" i="37"/>
  <c r="AA40" i="37"/>
  <c r="H14" i="33"/>
  <c r="U14" i="33"/>
  <c r="F14" i="33"/>
  <c r="AA14" i="33"/>
  <c r="J14" i="33"/>
  <c r="AC14" i="33"/>
  <c r="H30" i="33"/>
  <c r="AB30" i="33"/>
  <c r="F30" i="33"/>
  <c r="AA30" i="33"/>
  <c r="J30" i="33"/>
  <c r="J44" i="33"/>
  <c r="AC44" i="33"/>
  <c r="J46" i="33"/>
  <c r="F46" i="33"/>
  <c r="AA46" i="33"/>
  <c r="H46" i="33"/>
  <c r="AB46" i="33"/>
  <c r="H13" i="34"/>
  <c r="U13" i="34"/>
  <c r="J13" i="34"/>
  <c r="W13" i="34"/>
  <c r="F13" i="34"/>
  <c r="AA13" i="34"/>
  <c r="J29" i="34"/>
  <c r="AC29" i="34"/>
  <c r="F29" i="34"/>
  <c r="S29" i="34"/>
  <c r="H29" i="34"/>
  <c r="U29" i="34"/>
  <c r="J31" i="34"/>
  <c r="W31" i="34"/>
  <c r="AC31" i="34"/>
  <c r="H31" i="34"/>
  <c r="F31" i="34"/>
  <c r="S31" i="34"/>
  <c r="H45" i="34"/>
  <c r="U45" i="34"/>
  <c r="J45" i="34"/>
  <c r="W45" i="34"/>
  <c r="F45" i="34"/>
  <c r="AA45" i="34"/>
  <c r="H47" i="34"/>
  <c r="U47" i="34"/>
  <c r="F47" i="34"/>
  <c r="AA47" i="34"/>
  <c r="J47" i="34"/>
  <c r="AC47" i="34"/>
  <c r="F13" i="35"/>
  <c r="S13" i="35"/>
  <c r="J13" i="35"/>
  <c r="AC13" i="35"/>
  <c r="H13" i="35"/>
  <c r="U13" i="35"/>
  <c r="F25" i="35"/>
  <c r="AA25" i="35"/>
  <c r="J35" i="35"/>
  <c r="AC35" i="35"/>
  <c r="F35" i="35"/>
  <c r="S35" i="35"/>
  <c r="H35" i="35"/>
  <c r="J25" i="36"/>
  <c r="W25" i="36"/>
  <c r="F25" i="36"/>
  <c r="AA25" i="36"/>
  <c r="H25" i="36"/>
  <c r="AB25" i="36"/>
  <c r="H13" i="37"/>
  <c r="AB13" i="37"/>
  <c r="F13" i="37"/>
  <c r="S13" i="37"/>
  <c r="J13" i="37"/>
  <c r="AC13" i="37"/>
  <c r="AA28" i="37"/>
  <c r="J28" i="37"/>
  <c r="AC28" i="37"/>
  <c r="H38" i="37"/>
  <c r="AB38" i="37"/>
  <c r="F14" i="37"/>
  <c r="AA14" i="37"/>
  <c r="J14" i="37"/>
  <c r="W14" i="37"/>
  <c r="W35" i="35"/>
  <c r="U30" i="33"/>
  <c r="AB40" i="37"/>
  <c r="J36" i="37"/>
  <c r="AC36" i="37"/>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c r="BA551" i="3"/>
  <c r="AZ551" i="3"/>
  <c r="BA541" i="3"/>
  <c r="AZ541" i="3"/>
  <c r="BA531" i="3"/>
  <c r="BA505" i="3"/>
  <c r="BA501" i="3"/>
  <c r="AZ501" i="3"/>
  <c r="BA487" i="3"/>
  <c r="BA19" i="3"/>
  <c r="BA566" i="3"/>
  <c r="BA560" i="3"/>
  <c r="AZ560" i="3"/>
  <c r="BA558" i="3"/>
  <c r="AZ558" i="3"/>
  <c r="BA550" i="3"/>
  <c r="BA546" i="3"/>
  <c r="BA536" i="3"/>
  <c r="BA532" i="3"/>
  <c r="BA524" i="3"/>
  <c r="BA520" i="3"/>
  <c r="BA516" i="3"/>
  <c r="BA502" i="3"/>
  <c r="BA498" i="3"/>
  <c r="BA488" i="3"/>
  <c r="BA484" i="3"/>
  <c r="BA20" i="3"/>
  <c r="G566" i="3"/>
  <c r="G560" i="3"/>
  <c r="G558" i="3"/>
  <c r="G550" i="3"/>
  <c r="G546" i="3"/>
  <c r="AC542" i="3"/>
  <c r="G542" i="3"/>
  <c r="BQ542" i="3"/>
  <c r="BQ568" i="3"/>
  <c r="BQ566" i="3"/>
  <c r="BQ564" i="3"/>
  <c r="BL564" i="3"/>
  <c r="BQ562" i="3"/>
  <c r="BQ560" i="3"/>
  <c r="BL560" i="3"/>
  <c r="BQ558" i="3"/>
  <c r="BQ556" i="3"/>
  <c r="BL556" i="3"/>
  <c r="BQ554" i="3"/>
  <c r="BQ552" i="3"/>
  <c r="BL552" i="3"/>
  <c r="BQ550" i="3"/>
  <c r="BQ548" i="3"/>
  <c r="BQ546" i="3"/>
  <c r="BL546" i="3"/>
  <c r="BQ544" i="3"/>
  <c r="BL544" i="3"/>
  <c r="AZ544" i="3"/>
  <c r="G534" i="3"/>
  <c r="G530" i="3"/>
  <c r="G526" i="3"/>
  <c r="G522" i="3"/>
  <c r="BQ540" i="3"/>
  <c r="BL540" i="3"/>
  <c r="AZ540" i="3"/>
  <c r="BQ538" i="3"/>
  <c r="BQ536" i="3"/>
  <c r="BQ534" i="3"/>
  <c r="BL534" i="3"/>
  <c r="BQ532" i="3"/>
  <c r="BQ530" i="3"/>
  <c r="BQ528" i="3"/>
  <c r="BQ526" i="3"/>
  <c r="BL526" i="3"/>
  <c r="BQ524" i="3"/>
  <c r="BL524" i="3"/>
  <c r="BQ522" i="3"/>
  <c r="BQ520" i="3"/>
  <c r="BL520" i="3"/>
  <c r="AZ520" i="3"/>
  <c r="BQ518" i="3"/>
  <c r="BQ516" i="3"/>
  <c r="BQ514" i="3"/>
  <c r="BL514" i="3"/>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L486" i="3"/>
  <c r="AZ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AA23" i="37"/>
  <c r="F39" i="33"/>
  <c r="S39" i="33"/>
  <c r="F42" i="33"/>
  <c r="AA42" i="33"/>
  <c r="H28" i="34"/>
  <c r="AB28" i="34"/>
  <c r="F22" i="36"/>
  <c r="S22" i="36"/>
  <c r="H35" i="34"/>
  <c r="U35" i="34"/>
  <c r="F41" i="34"/>
  <c r="S41" i="34"/>
  <c r="H41" i="34"/>
  <c r="U41" i="34"/>
  <c r="J41" i="34"/>
  <c r="W41" i="34"/>
  <c r="F10" i="35"/>
  <c r="AA10" i="35"/>
  <c r="F24" i="35"/>
  <c r="AA24" i="35"/>
  <c r="H24" i="35"/>
  <c r="AB24" i="35"/>
  <c r="H23" i="37"/>
  <c r="U23" i="37"/>
  <c r="AB23" i="37"/>
  <c r="J32" i="37"/>
  <c r="AC32" i="37"/>
  <c r="F36" i="37"/>
  <c r="S36" i="37"/>
  <c r="F37" i="37"/>
  <c r="AA37" i="37"/>
  <c r="AC41" i="34"/>
  <c r="F123" i="33"/>
  <c r="G123" i="33"/>
  <c r="H123" i="33"/>
  <c r="I123" i="33"/>
  <c r="J123" i="33"/>
  <c r="K123" i="33"/>
  <c r="L123" i="33"/>
  <c r="M123" i="33"/>
  <c r="H42" i="33"/>
  <c r="U42" i="33"/>
  <c r="J43" i="33"/>
  <c r="AC43" i="33"/>
  <c r="G79" i="37"/>
  <c r="J23" i="37"/>
  <c r="F17" i="37"/>
  <c r="AA17" i="37"/>
  <c r="AB43" i="33"/>
  <c r="D3" i="21"/>
  <c r="AC12" i="35"/>
  <c r="W23" i="35"/>
  <c r="U39" i="37"/>
  <c r="AC8" i="37"/>
  <c r="AB8" i="34"/>
  <c r="AC37" i="33"/>
  <c r="U19" i="21"/>
  <c r="AC33" i="21"/>
  <c r="F43" i="33"/>
  <c r="AA43" i="33"/>
  <c r="G107" i="37"/>
  <c r="H107" i="37"/>
  <c r="I107" i="37"/>
  <c r="J107" i="37"/>
  <c r="K107" i="37"/>
  <c r="L107" i="37"/>
  <c r="M107" i="37"/>
  <c r="F37" i="21"/>
  <c r="S37" i="21"/>
  <c r="J37" i="21"/>
  <c r="W37" i="21"/>
  <c r="H19" i="34"/>
  <c r="AB19" i="34"/>
  <c r="J10" i="37"/>
  <c r="AC10" i="37"/>
  <c r="J9" i="37"/>
  <c r="W9" i="37"/>
  <c r="H9" i="37"/>
  <c r="U9" i="37"/>
  <c r="F9" i="37"/>
  <c r="S9" i="37"/>
  <c r="F11" i="37"/>
  <c r="S11"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G483" i="3"/>
  <c r="G507" i="3"/>
  <c r="G501" i="3"/>
  <c r="BA15" i="3"/>
  <c r="BL17" i="3"/>
  <c r="BL15" i="3"/>
  <c r="BA14" i="3"/>
  <c r="AZ14" i="3"/>
  <c r="J57" i="39"/>
  <c r="I4" i="4"/>
  <c r="K141" i="21"/>
  <c r="K143" i="21"/>
  <c r="K144" i="21"/>
  <c r="I58" i="40"/>
  <c r="C58" i="40"/>
  <c r="I59" i="40"/>
  <c r="C59" i="40"/>
  <c r="G297" i="3"/>
  <c r="BL298" i="3"/>
  <c r="G299" i="3"/>
  <c r="BL300" i="3"/>
  <c r="BA302" i="3"/>
  <c r="AZ302" i="3"/>
  <c r="BA303" i="3"/>
  <c r="AZ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AZ379" i="3"/>
  <c r="BA114" i="3"/>
  <c r="AZ114" i="3"/>
  <c r="BL115" i="3"/>
  <c r="AZ115" i="3"/>
  <c r="G116" i="3"/>
  <c r="BA118" i="3"/>
  <c r="BL119" i="3"/>
  <c r="AZ119" i="3"/>
  <c r="G120" i="3"/>
  <c r="BA122" i="3"/>
  <c r="BL123" i="3"/>
  <c r="AZ123" i="3"/>
  <c r="G124" i="3"/>
  <c r="BA126" i="3"/>
  <c r="BL127" i="3"/>
  <c r="G128" i="3"/>
  <c r="BA130" i="3"/>
  <c r="AZ130" i="3"/>
  <c r="BL131" i="3"/>
  <c r="G132" i="3"/>
  <c r="BA134" i="3"/>
  <c r="BL135" i="3"/>
  <c r="G136" i="3"/>
  <c r="BA138" i="3"/>
  <c r="BL139" i="3"/>
  <c r="AZ139" i="3"/>
  <c r="G140" i="3"/>
  <c r="BA142" i="3"/>
  <c r="BL143" i="3"/>
  <c r="G144" i="3"/>
  <c r="BA146" i="3"/>
  <c r="AZ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23" i="3"/>
  <c r="BL181" i="3"/>
  <c r="G182" i="3"/>
  <c r="BA184" i="3"/>
  <c r="AZ184" i="3"/>
  <c r="BL185" i="3"/>
  <c r="G186" i="3"/>
  <c r="BA188" i="3"/>
  <c r="AZ188" i="3"/>
  <c r="BL189" i="3"/>
  <c r="G190" i="3"/>
  <c r="BA192" i="3"/>
  <c r="AZ192" i="3"/>
  <c r="BL193" i="3"/>
  <c r="AZ193" i="3"/>
  <c r="G194" i="3"/>
  <c r="BA196" i="3"/>
  <c r="AZ196" i="3"/>
  <c r="BL197" i="3"/>
  <c r="G198" i="3"/>
  <c r="BA200" i="3"/>
  <c r="AZ200" i="3"/>
  <c r="BL201" i="3"/>
  <c r="AZ201" i="3"/>
  <c r="AZ66" i="3"/>
  <c r="AZ74" i="3"/>
  <c r="AZ90" i="3"/>
  <c r="AZ94" i="3"/>
  <c r="AZ106" i="3"/>
  <c r="AZ110" i="3"/>
  <c r="BA298" i="3"/>
  <c r="AZ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AZ338" i="3"/>
  <c r="BA339" i="3"/>
  <c r="BL339" i="3"/>
  <c r="G340" i="3"/>
  <c r="G343" i="3"/>
  <c r="BL344" i="3"/>
  <c r="BA346" i="3"/>
  <c r="AZ346" i="3"/>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BA372" i="3"/>
  <c r="BA373" i="3"/>
  <c r="BL373" i="3"/>
  <c r="AZ373" i="3"/>
  <c r="G374" i="3"/>
  <c r="G377" i="3"/>
  <c r="BL378" i="3"/>
  <c r="AZ378" i="3"/>
  <c r="BA380" i="3"/>
  <c r="BA381" i="3"/>
  <c r="BL381" i="3"/>
  <c r="G382" i="3"/>
  <c r="G385" i="3"/>
  <c r="AZ154" i="3"/>
  <c r="AZ162" i="3"/>
  <c r="AZ170" i="3"/>
  <c r="AZ174" i="3"/>
  <c r="AZ183" i="3"/>
  <c r="G523" i="3"/>
  <c r="BL297" i="3"/>
  <c r="AZ297" i="3"/>
  <c r="G298" i="3"/>
  <c r="BA300" i="3"/>
  <c r="BL301" i="3"/>
  <c r="AZ301" i="3"/>
  <c r="G302" i="3"/>
  <c r="BA304" i="3"/>
  <c r="AZ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AZ328" i="3"/>
  <c r="BL329" i="3"/>
  <c r="AZ329" i="3"/>
  <c r="G330" i="3"/>
  <c r="BA332" i="3"/>
  <c r="AZ332" i="3"/>
  <c r="BL333" i="3"/>
  <c r="G334" i="3"/>
  <c r="BA336" i="3"/>
  <c r="BL337" i="3"/>
  <c r="AZ337" i="3"/>
  <c r="G338" i="3"/>
  <c r="BA340" i="3"/>
  <c r="AZ340" i="3"/>
  <c r="BL341" i="3"/>
  <c r="AZ341" i="3"/>
  <c r="G342" i="3"/>
  <c r="BA344" i="3"/>
  <c r="BL345" i="3"/>
  <c r="AZ345" i="3"/>
  <c r="G346" i="3"/>
  <c r="BA348" i="3"/>
  <c r="AZ348" i="3"/>
  <c r="BL349" i="3"/>
  <c r="G350" i="3"/>
  <c r="BA352" i="3"/>
  <c r="AZ352" i="3"/>
  <c r="BL353" i="3"/>
  <c r="G354" i="3"/>
  <c r="BA356" i="3"/>
  <c r="AZ356" i="3"/>
  <c r="BL357" i="3"/>
  <c r="G358" i="3"/>
  <c r="BA362" i="3"/>
  <c r="AZ362" i="3"/>
  <c r="BL363" i="3"/>
  <c r="G364" i="3"/>
  <c r="BA366" i="3"/>
  <c r="AZ366" i="3"/>
  <c r="BL367" i="3"/>
  <c r="AZ367" i="3"/>
  <c r="AZ321" i="3"/>
  <c r="AZ353" i="3"/>
  <c r="AZ363" i="3"/>
  <c r="G368" i="3"/>
  <c r="BA370" i="3"/>
  <c r="BL371" i="3"/>
  <c r="G372" i="3"/>
  <c r="BA374" i="3"/>
  <c r="AZ374" i="3"/>
  <c r="BL375" i="3"/>
  <c r="G376" i="3"/>
  <c r="BA378" i="3"/>
  <c r="BL379" i="3"/>
  <c r="G380" i="3"/>
  <c r="BA382" i="3"/>
  <c r="AZ382" i="3"/>
  <c r="BL383" i="3"/>
  <c r="AZ383" i="3"/>
  <c r="G384" i="3"/>
  <c r="AZ311" i="3"/>
  <c r="AZ347" i="3"/>
  <c r="F37" i="46"/>
  <c r="AB16" i="35"/>
  <c r="AB15" i="37"/>
  <c r="AA43" i="21"/>
  <c r="U43" i="21"/>
  <c r="R16" i="4"/>
  <c r="K17" i="4" s="1"/>
  <c r="A22" i="51" s="1"/>
  <c r="B16" i="63" s="1"/>
  <c r="D3" i="35"/>
  <c r="G4" i="4"/>
  <c r="S37" i="34"/>
  <c r="J16" i="35"/>
  <c r="W16" i="35"/>
  <c r="U42" i="21"/>
  <c r="AZ300" i="3"/>
  <c r="AZ354" i="3"/>
  <c r="H13" i="39"/>
  <c r="AB13" i="39"/>
  <c r="F13" i="39"/>
  <c r="AA13" i="39"/>
  <c r="J13" i="39"/>
  <c r="AC13" i="39"/>
  <c r="H11" i="37"/>
  <c r="AB11" i="37"/>
  <c r="AA36" i="37"/>
  <c r="S42" i="33"/>
  <c r="AB17" i="37"/>
  <c r="AZ488" i="3"/>
  <c r="AA45" i="33"/>
  <c r="AC11" i="36"/>
  <c r="AB45" i="34"/>
  <c r="AC14" i="37"/>
  <c r="S25" i="35"/>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G96" i="37"/>
  <c r="H96" i="37"/>
  <c r="I96" i="37"/>
  <c r="J96" i="37"/>
  <c r="K96" i="37"/>
  <c r="L96" i="37"/>
  <c r="M96" i="37"/>
  <c r="H32" i="37"/>
  <c r="AB32" i="37"/>
  <c r="F19" i="39"/>
  <c r="S19" i="39"/>
  <c r="H19" i="39"/>
  <c r="U19" i="39"/>
  <c r="J19" i="39"/>
  <c r="W19" i="39"/>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AC31" i="37"/>
  <c r="W31" i="37"/>
  <c r="F17" i="39"/>
  <c r="AA17" i="39"/>
  <c r="H17" i="39"/>
  <c r="U17" i="39"/>
  <c r="J17" i="39"/>
  <c r="W17" i="39"/>
  <c r="F21" i="39"/>
  <c r="S21" i="39"/>
  <c r="H21" i="39"/>
  <c r="J21" i="39"/>
  <c r="W21" i="39"/>
  <c r="F33" i="39"/>
  <c r="AA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L567" i="3"/>
  <c r="BA567" i="3"/>
  <c r="AZ567" i="3"/>
  <c r="BL566" i="3"/>
  <c r="AZ566" i="3"/>
  <c r="BL565" i="3"/>
  <c r="AZ565" i="3"/>
  <c r="BA564" i="3"/>
  <c r="AZ564" i="3"/>
  <c r="BL554" i="3"/>
  <c r="AZ554" i="3"/>
  <c r="BA553" i="3"/>
  <c r="AZ553" i="3"/>
  <c r="BA552" i="3"/>
  <c r="BA549" i="3"/>
  <c r="BL548" i="3"/>
  <c r="BA547" i="3"/>
  <c r="BL539" i="3"/>
  <c r="AZ539" i="3"/>
  <c r="BA539" i="3"/>
  <c r="BA538" i="3"/>
  <c r="AZ538" i="3"/>
  <c r="BL537" i="3"/>
  <c r="BA537" i="3"/>
  <c r="AZ537" i="3"/>
  <c r="BL536" i="3"/>
  <c r="AZ536" i="3"/>
  <c r="BA535" i="3"/>
  <c r="BA534" i="3"/>
  <c r="BA533" i="3"/>
  <c r="AZ533" i="3"/>
  <c r="BL531" i="3"/>
  <c r="AZ531" i="3"/>
  <c r="BL530" i="3"/>
  <c r="BA530" i="3"/>
  <c r="BL529" i="3"/>
  <c r="BA529" i="3"/>
  <c r="AZ529" i="3"/>
  <c r="BL528" i="3"/>
  <c r="BA527" i="3"/>
  <c r="AZ527" i="3"/>
  <c r="BA526" i="3"/>
  <c r="BA525" i="3"/>
  <c r="AZ525" i="3"/>
  <c r="BL523" i="3"/>
  <c r="BA523" i="3"/>
  <c r="BL521" i="3"/>
  <c r="BL518" i="3"/>
  <c r="BA517" i="3"/>
  <c r="BA514" i="3"/>
  <c r="BL513" i="3"/>
  <c r="BA511" i="3"/>
  <c r="BA510" i="3"/>
  <c r="BA507" i="3"/>
  <c r="BL505" i="3"/>
  <c r="AZ505" i="3"/>
  <c r="BL504" i="3"/>
  <c r="AZ504" i="3"/>
  <c r="BA504" i="3"/>
  <c r="BA503" i="3"/>
  <c r="AZ503" i="3"/>
  <c r="BA500" i="3"/>
  <c r="AZ500" i="3"/>
  <c r="BL499" i="3"/>
  <c r="BL498" i="3"/>
  <c r="AZ498" i="3"/>
  <c r="BL496" i="3"/>
  <c r="BA496" i="3"/>
  <c r="BA495" i="3"/>
  <c r="BL494" i="3"/>
  <c r="BA494" i="3"/>
  <c r="AZ494" i="3"/>
  <c r="G494" i="3"/>
  <c r="BA491" i="3"/>
  <c r="BL490" i="3"/>
  <c r="BA490" i="3"/>
  <c r="BL489" i="3"/>
  <c r="BA489" i="3"/>
  <c r="AZ489" i="3"/>
  <c r="BL487" i="3"/>
  <c r="AZ487" i="3"/>
  <c r="BA486" i="3"/>
  <c r="BA485" i="3"/>
  <c r="AZ485" i="3"/>
  <c r="BA483" i="3"/>
  <c r="AZ483" i="3"/>
  <c r="BA481" i="3"/>
  <c r="BA18" i="3"/>
  <c r="H114" i="34"/>
  <c r="I114" i="34"/>
  <c r="J114" i="34"/>
  <c r="K114" i="34"/>
  <c r="L114" i="34"/>
  <c r="M114" i="34"/>
  <c r="H38" i="34"/>
  <c r="U38" i="34"/>
  <c r="H30" i="40"/>
  <c r="AB30" i="40"/>
  <c r="G99" i="40"/>
  <c r="J30" i="40"/>
  <c r="AC30" i="40"/>
  <c r="F38" i="40"/>
  <c r="AA38" i="40"/>
  <c r="AA36" i="34"/>
  <c r="W12" i="21"/>
  <c r="AB33"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c r="E72" i="35"/>
  <c r="F72" i="35"/>
  <c r="G72" i="35"/>
  <c r="H22" i="35"/>
  <c r="AB22" i="35"/>
  <c r="H23" i="35"/>
  <c r="F23" i="35"/>
  <c r="AB36" i="35"/>
  <c r="U31" i="36"/>
  <c r="F14" i="39"/>
  <c r="AA14" i="39"/>
  <c r="H14" i="39"/>
  <c r="AB14" i="39"/>
  <c r="J14" i="39"/>
  <c r="F16" i="39"/>
  <c r="AA16" i="39"/>
  <c r="H16" i="39"/>
  <c r="U16" i="39"/>
  <c r="J16" i="39"/>
  <c r="AC16" i="39"/>
  <c r="F23" i="39"/>
  <c r="E96" i="39"/>
  <c r="F96" i="39"/>
  <c r="F27" i="39"/>
  <c r="AA27" i="39"/>
  <c r="H27" i="39"/>
  <c r="AB27" i="39"/>
  <c r="J27" i="39"/>
  <c r="F15" i="40"/>
  <c r="AA15" i="40"/>
  <c r="J15" i="40"/>
  <c r="H15" i="40"/>
  <c r="AB15" i="40"/>
  <c r="E91" i="40"/>
  <c r="F91" i="40"/>
  <c r="G91" i="40"/>
  <c r="H23" i="40"/>
  <c r="AB23" i="40"/>
  <c r="H41" i="40"/>
  <c r="F41" i="40"/>
  <c r="AA41" i="40"/>
  <c r="J41" i="40"/>
  <c r="W41" i="40"/>
  <c r="H36" i="33"/>
  <c r="AB36" i="33"/>
  <c r="H37" i="34"/>
  <c r="AB37" i="34"/>
  <c r="F15" i="39"/>
  <c r="AA15" i="39"/>
  <c r="H15" i="39"/>
  <c r="J15" i="39"/>
  <c r="AC15" i="39"/>
  <c r="H25" i="39"/>
  <c r="AB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H33" i="40"/>
  <c r="AB33" i="40"/>
  <c r="F33" i="40"/>
  <c r="AA33" i="40"/>
  <c r="J33" i="40"/>
  <c r="AC33" i="40"/>
  <c r="H35" i="40"/>
  <c r="AB35" i="40"/>
  <c r="F35" i="40"/>
  <c r="AA35" i="40"/>
  <c r="J35" i="40"/>
  <c r="AC35" i="40"/>
  <c r="H38" i="39"/>
  <c r="U38" i="39"/>
  <c r="J16" i="40"/>
  <c r="W16" i="40"/>
  <c r="J14" i="40"/>
  <c r="W14" i="40"/>
  <c r="H42" i="40"/>
  <c r="AB42" i="40"/>
  <c r="H40" i="40"/>
  <c r="U40" i="40"/>
  <c r="H34" i="40"/>
  <c r="U34" i="40"/>
  <c r="B41" i="1"/>
  <c r="F72" i="9"/>
  <c r="J40" i="40"/>
  <c r="J34" i="40"/>
  <c r="AC34" i="40"/>
  <c r="H16" i="40"/>
  <c r="AB16" i="40"/>
  <c r="H14" i="40"/>
  <c r="U14" i="40"/>
  <c r="F61" i="46"/>
  <c r="H61" i="46"/>
  <c r="AZ212" i="3"/>
  <c r="AZ215" i="3"/>
  <c r="AZ220" i="3"/>
  <c r="AZ223" i="3"/>
  <c r="AZ228" i="3"/>
  <c r="AZ231" i="3"/>
  <c r="AZ236" i="3"/>
  <c r="AZ239" i="3"/>
  <c r="AZ244" i="3"/>
  <c r="AZ247" i="3"/>
  <c r="AZ252" i="3"/>
  <c r="AZ255" i="3"/>
  <c r="AZ260" i="3"/>
  <c r="AZ263" i="3"/>
  <c r="AZ268" i="3"/>
  <c r="AZ276" i="3"/>
  <c r="AZ284" i="3"/>
  <c r="AZ292" i="3"/>
  <c r="AZ124" i="3"/>
  <c r="F72" i="46"/>
  <c r="H74" i="46"/>
  <c r="AZ180" i="3"/>
  <c r="AZ71" i="3"/>
  <c r="AB14" i="40"/>
  <c r="U37" i="34"/>
  <c r="AC41" i="40"/>
  <c r="J23" i="40"/>
  <c r="AC23" i="40"/>
  <c r="F23" i="40"/>
  <c r="AC15" i="40"/>
  <c r="W15" i="40"/>
  <c r="AB16" i="39"/>
  <c r="U23" i="35"/>
  <c r="AB23" i="35"/>
  <c r="H20" i="35"/>
  <c r="U20" i="35"/>
  <c r="F20" i="35"/>
  <c r="S20" i="35"/>
  <c r="H15" i="34"/>
  <c r="AB15" i="34"/>
  <c r="F78" i="34"/>
  <c r="G78" i="34"/>
  <c r="J15" i="34"/>
  <c r="W15" i="34"/>
  <c r="H41" i="33"/>
  <c r="U41" i="33"/>
  <c r="F121" i="33"/>
  <c r="G121" i="33"/>
  <c r="H121" i="33"/>
  <c r="I121" i="33"/>
  <c r="J121" i="33"/>
  <c r="K121" i="33"/>
  <c r="L121" i="33"/>
  <c r="M121" i="33"/>
  <c r="F30" i="40"/>
  <c r="AA30" i="40"/>
  <c r="H99" i="40"/>
  <c r="I99" i="40"/>
  <c r="J99" i="40"/>
  <c r="K99" i="40"/>
  <c r="L99" i="40"/>
  <c r="M99" i="40"/>
  <c r="AB38" i="34"/>
  <c r="AZ530" i="3"/>
  <c r="AB37" i="39"/>
  <c r="AA29" i="35"/>
  <c r="U39" i="39"/>
  <c r="J29" i="39"/>
  <c r="AC29" i="39"/>
  <c r="AB21" i="39"/>
  <c r="U21" i="39"/>
  <c r="AB33" i="36"/>
  <c r="AA14" i="35"/>
  <c r="F33" i="37"/>
  <c r="S33" i="37"/>
  <c r="AB19" i="39"/>
  <c r="U46" i="34"/>
  <c r="AC30" i="34"/>
  <c r="AA14" i="34"/>
  <c r="W12" i="34"/>
  <c r="U29" i="33"/>
  <c r="AC13" i="33"/>
  <c r="U17" i="34"/>
  <c r="AA11" i="34"/>
  <c r="W32" i="33"/>
  <c r="H15" i="33"/>
  <c r="U15" i="33"/>
  <c r="AA11" i="33"/>
  <c r="AA40" i="21"/>
  <c r="U17" i="21"/>
  <c r="S13" i="39"/>
  <c r="U16" i="40"/>
  <c r="W34" i="40"/>
  <c r="AC16" i="40"/>
  <c r="H25" i="40"/>
  <c r="AB25" i="40"/>
  <c r="F93" i="40"/>
  <c r="G93" i="40"/>
  <c r="U47" i="39"/>
  <c r="J37" i="34"/>
  <c r="AC37" i="34"/>
  <c r="J36" i="33"/>
  <c r="S41" i="40"/>
  <c r="U27" i="39"/>
  <c r="H23" i="39"/>
  <c r="AB23" i="39"/>
  <c r="J23" i="39"/>
  <c r="AC23" i="39"/>
  <c r="G96"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F32" i="37"/>
  <c r="S32" i="37"/>
  <c r="U11" i="35"/>
  <c r="AB11" i="35"/>
  <c r="S46" i="34"/>
  <c r="U32" i="34"/>
  <c r="U14" i="34"/>
  <c r="AC14" i="34"/>
  <c r="U12" i="34"/>
  <c r="AB13" i="33"/>
  <c r="G80" i="34"/>
  <c r="F17" i="34"/>
  <c r="AA17" i="34"/>
  <c r="J17" i="34"/>
  <c r="W17" i="34"/>
  <c r="AC17" i="34"/>
  <c r="H11" i="34"/>
  <c r="AB11" i="34"/>
  <c r="J35" i="33"/>
  <c r="W35" i="33"/>
  <c r="S32" i="33"/>
  <c r="AC15" i="33"/>
  <c r="H11" i="33"/>
  <c r="AB11" i="33"/>
  <c r="U11" i="33"/>
  <c r="H10" i="33"/>
  <c r="U10" i="33"/>
  <c r="J10" i="33"/>
  <c r="W10" i="33"/>
  <c r="U40" i="21"/>
  <c r="U13" i="39"/>
  <c r="AC16" i="35"/>
  <c r="J11" i="34"/>
  <c r="W11" i="34"/>
  <c r="S17" i="34"/>
  <c r="F25" i="40"/>
  <c r="AA25" i="40"/>
  <c r="J11" i="33"/>
  <c r="W11" i="33"/>
  <c r="H33" i="37"/>
  <c r="AB33" i="37"/>
  <c r="B11" i="1"/>
  <c r="E11" i="1"/>
  <c r="K11" i="1"/>
  <c r="M11" i="1"/>
  <c r="B9" i="1"/>
  <c r="E9" i="1"/>
  <c r="K9" i="1"/>
  <c r="M9" i="1"/>
  <c r="B7" i="1"/>
  <c r="E7" i="1"/>
  <c r="K7" i="1"/>
  <c r="M7" i="1"/>
  <c r="AC25" i="36"/>
  <c r="S23" i="36"/>
  <c r="S8" i="36"/>
  <c r="AA26" i="36"/>
  <c r="AA28" i="36"/>
  <c r="U25" i="36"/>
  <c r="H20" i="36"/>
  <c r="U20" i="36"/>
  <c r="F68" i="36"/>
  <c r="G68" i="36"/>
  <c r="J20" i="36"/>
  <c r="AC20" i="36"/>
  <c r="F20" i="36"/>
  <c r="S20" i="36"/>
  <c r="F62" i="36"/>
  <c r="G62" i="36"/>
  <c r="J14" i="36"/>
  <c r="H14" i="36"/>
  <c r="F14" i="36"/>
  <c r="AA14" i="36"/>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c r="J19" i="37"/>
  <c r="AC19" i="37"/>
  <c r="G75" i="37"/>
  <c r="F19" i="37"/>
  <c r="AA19" i="37"/>
  <c r="H19" i="37"/>
  <c r="AB19" i="37"/>
  <c r="J17" i="37"/>
  <c r="AC17" i="37"/>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c r="J23" i="21"/>
  <c r="W23" i="21"/>
  <c r="F23" i="21"/>
  <c r="AA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s="1"/>
  <c r="J37" i="40"/>
  <c r="AC37" i="40" s="1"/>
  <c r="H37" i="40"/>
  <c r="G112" i="40"/>
  <c r="H112" i="40"/>
  <c r="I112" i="40"/>
  <c r="J112" i="40"/>
  <c r="K112" i="40"/>
  <c r="L112" i="40"/>
  <c r="M112" i="40"/>
  <c r="F39" i="40"/>
  <c r="H39" i="40"/>
  <c r="J39" i="40"/>
  <c r="W38" i="40"/>
  <c r="F29" i="40"/>
  <c r="AA29" i="40"/>
  <c r="H29" i="40"/>
  <c r="J29" i="40"/>
  <c r="F97" i="40"/>
  <c r="G97" i="40"/>
  <c r="H97" i="40"/>
  <c r="I97" i="40"/>
  <c r="J97" i="40"/>
  <c r="K97" i="40"/>
  <c r="L97" i="40"/>
  <c r="M97" i="40"/>
  <c r="S30" i="40"/>
  <c r="S25" i="40"/>
  <c r="F87" i="40"/>
  <c r="G87" i="40"/>
  <c r="F19" i="40"/>
  <c r="AA19" i="40"/>
  <c r="H19" i="40"/>
  <c r="AB19" i="40"/>
  <c r="J19" i="40"/>
  <c r="AC19" i="40"/>
  <c r="F17" i="40"/>
  <c r="AA17" i="40"/>
  <c r="H17" i="40"/>
  <c r="U17" i="40"/>
  <c r="W21" i="40"/>
  <c r="AB40" i="40"/>
  <c r="U10" i="40"/>
  <c r="U27" i="40"/>
  <c r="AB27" i="40"/>
  <c r="AC44" i="39"/>
  <c r="W13" i="39"/>
  <c r="S11" i="39"/>
  <c r="AB45" i="39"/>
  <c r="S27" i="39"/>
  <c r="AC19" i="39"/>
  <c r="W29" i="39"/>
  <c r="S29" i="39"/>
  <c r="AC21" i="39"/>
  <c r="AC17" i="39"/>
  <c r="S14" i="39"/>
  <c r="U11" i="39"/>
  <c r="U41" i="39"/>
  <c r="U23" i="39"/>
  <c r="U31" i="39"/>
  <c r="AB31" i="39"/>
  <c r="S25" i="39"/>
  <c r="S22" i="31"/>
  <c r="D96" i="9"/>
  <c r="M18" i="15"/>
  <c r="A18" i="64"/>
  <c r="B74" i="63"/>
  <c r="C53" i="10"/>
  <c r="A25" i="64" s="1"/>
  <c r="A18" i="51"/>
  <c r="B14" i="63"/>
  <c r="BA16" i="3"/>
  <c r="BA17" i="3"/>
  <c r="AZ17" i="3"/>
  <c r="F3" i="35"/>
  <c r="K1" i="43"/>
  <c r="K1" i="12"/>
  <c r="G1" i="44"/>
  <c r="I4" i="6"/>
  <c r="AZ15" i="3"/>
  <c r="BK5" i="3"/>
  <c r="BP5" i="3"/>
  <c r="BN5" i="3"/>
  <c r="G29" i="6"/>
  <c r="BL18" i="3"/>
  <c r="AZ18" i="3"/>
  <c r="BC5" i="3"/>
  <c r="BD5" i="3"/>
  <c r="BR5" i="3"/>
  <c r="BS5" i="3"/>
  <c r="BQ5" i="3"/>
  <c r="BL16" i="3"/>
  <c r="BM5" i="3"/>
  <c r="G28" i="12"/>
  <c r="D24" i="44"/>
  <c r="D26" i="44"/>
  <c r="F50" i="46"/>
  <c r="H52" i="46"/>
  <c r="C6" i="46"/>
  <c r="I5" i="48"/>
  <c r="K21" i="46"/>
  <c r="F42" i="46"/>
  <c r="D74" i="46"/>
  <c r="D87" i="46"/>
  <c r="D72" i="46"/>
  <c r="H83" i="46"/>
  <c r="H87" i="46"/>
  <c r="AA12" i="36"/>
  <c r="W11" i="35"/>
  <c r="AA11" i="35"/>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H18" i="36"/>
  <c r="U18" i="36"/>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c r="W30" i="40"/>
  <c r="S34" i="40"/>
  <c r="U38" i="40"/>
  <c r="S40"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c r="A17" i="51"/>
  <c r="B13" i="63"/>
  <c r="AT6" i="3"/>
  <c r="AZ16" i="3"/>
  <c r="E4" i="4"/>
  <c r="B21" i="55"/>
  <c r="B72" i="63"/>
  <c r="C4" i="4"/>
  <c r="G66" i="36"/>
  <c r="J18" i="36"/>
  <c r="W18" i="36"/>
  <c r="AC18" i="36"/>
  <c r="L20" i="6"/>
  <c r="B20" i="55"/>
  <c r="B70" i="63"/>
  <c r="C45" i="9"/>
  <c r="B7" i="66"/>
  <c r="C44" i="9"/>
  <c r="B6" i="66"/>
  <c r="K29" i="9"/>
  <c r="K30" i="9"/>
  <c r="N76" i="9"/>
  <c r="C46" i="9"/>
  <c r="K33" i="9"/>
  <c r="K34" i="9"/>
  <c r="O41" i="9"/>
  <c r="R8" i="54"/>
  <c r="B54" i="63"/>
  <c r="B8" i="66"/>
  <c r="J21" i="46"/>
  <c r="F38" i="46"/>
  <c r="F41" i="46"/>
  <c r="F40" i="46"/>
  <c r="H117"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W19" i="40"/>
  <c r="S19" i="40"/>
  <c r="U19" i="40"/>
  <c r="F12" i="1"/>
  <c r="AP12" i="1" s="1"/>
  <c r="F6" i="1"/>
  <c r="AP6" i="1" s="1"/>
  <c r="C42" i="1"/>
  <c r="C9" i="76"/>
  <c r="C64" i="76"/>
  <c r="W38" i="37"/>
  <c r="AC38" i="37"/>
  <c r="AC12" i="37"/>
  <c r="W12" i="37"/>
  <c r="F38" i="37"/>
  <c r="AA39" i="37"/>
  <c r="S37" i="37"/>
  <c r="AA33" i="37"/>
  <c r="W17" i="37"/>
  <c r="W19" i="37"/>
  <c r="U38" i="37"/>
  <c r="AC15" i="37"/>
  <c r="S14" i="37"/>
  <c r="S29" i="37"/>
  <c r="AA9" i="37"/>
  <c r="AA8" i="37"/>
  <c r="H12" i="37"/>
  <c r="AB27" i="37"/>
  <c r="F27" i="37"/>
  <c r="S27" i="37"/>
  <c r="U33" i="37"/>
  <c r="AC9" i="37"/>
  <c r="AA31" i="37"/>
  <c r="W37" i="37"/>
  <c r="S23" i="37"/>
  <c r="J27" i="37"/>
  <c r="AA11" i="37"/>
  <c r="U11" i="37"/>
  <c r="S38" i="40"/>
  <c r="AA37" i="40"/>
  <c r="AC17" i="40"/>
  <c r="F28" i="6"/>
  <c r="F29" i="6"/>
  <c r="H72" i="46"/>
  <c r="A9" i="64"/>
  <c r="F20" i="59"/>
  <c r="F19" i="59"/>
  <c r="F18" i="59"/>
  <c r="F17" i="59"/>
  <c r="V21" i="59"/>
  <c r="C20" i="59"/>
  <c r="D21" i="59"/>
  <c r="T21" i="59"/>
  <c r="AA23" i="35"/>
  <c r="S23" i="35"/>
  <c r="O40" i="9"/>
  <c r="K31" i="9"/>
  <c r="K32" i="9"/>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c r="BL568" i="3"/>
  <c r="AZ568" i="3"/>
  <c r="BL563" i="3"/>
  <c r="BA563" i="3"/>
  <c r="BA562" i="3"/>
  <c r="BA559" i="3"/>
  <c r="AZ559" i="3"/>
  <c r="BL550" i="3"/>
  <c r="BL549" i="3"/>
  <c r="AZ549" i="3"/>
  <c r="BA548" i="3"/>
  <c r="BL547" i="3"/>
  <c r="AZ547" i="3"/>
  <c r="BL522" i="3"/>
  <c r="BA522" i="3"/>
  <c r="BA521" i="3"/>
  <c r="AZ521" i="3"/>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c r="BL507" i="3"/>
  <c r="AZ507" i="3"/>
  <c r="BL506" i="3"/>
  <c r="BA506" i="3"/>
  <c r="BA499" i="3"/>
  <c r="AZ499" i="3"/>
  <c r="BL497" i="3"/>
  <c r="BA497" i="3"/>
  <c r="AZ497" i="3"/>
  <c r="AZ514" i="3"/>
  <c r="AZ502" i="3"/>
  <c r="AB31" i="33"/>
  <c r="U31" i="33"/>
  <c r="AB30" i="21"/>
  <c r="U30" i="21"/>
  <c r="J25" i="35"/>
  <c r="H25" i="35"/>
  <c r="W26" i="37"/>
  <c r="AC26" i="37"/>
  <c r="BL511" i="3"/>
  <c r="AZ511" i="3"/>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c r="BF5" i="3"/>
  <c r="B73" i="46"/>
  <c r="C23" i="39"/>
  <c r="B94" i="46"/>
  <c r="B84" i="46"/>
  <c r="U9" i="33"/>
  <c r="AB9" i="33"/>
  <c r="W26" i="36"/>
  <c r="AC26" i="36"/>
  <c r="J34" i="36"/>
  <c r="H34" i="36"/>
  <c r="F42" i="40"/>
  <c r="J42" i="40"/>
  <c r="BL561" i="3"/>
  <c r="AZ561" i="3"/>
  <c r="AZ557" i="3"/>
  <c r="AZ556" i="3"/>
  <c r="AZ545" i="3"/>
  <c r="AZ542" i="3"/>
  <c r="AZ528" i="3"/>
  <c r="BA519" i="3"/>
  <c r="AZ519" i="3"/>
  <c r="BA518" i="3"/>
  <c r="AZ518" i="3"/>
  <c r="BL517" i="3"/>
  <c r="AZ517" i="3"/>
  <c r="BL515" i="3"/>
  <c r="BA515" i="3"/>
  <c r="AZ515" i="3"/>
  <c r="BA513" i="3"/>
  <c r="AZ513" i="3"/>
  <c r="BL512" i="3"/>
  <c r="AZ512" i="3"/>
  <c r="BA512" i="3"/>
  <c r="AZ493" i="3"/>
  <c r="BH5" i="3"/>
  <c r="BL481" i="3"/>
  <c r="AZ481" i="3"/>
  <c r="BB5" i="3"/>
  <c r="BL19" i="3"/>
  <c r="AZ19" i="3"/>
  <c r="AZ495" i="3"/>
  <c r="AZ552" i="3"/>
  <c r="AZ381" i="3"/>
  <c r="AZ372" i="3"/>
  <c r="AZ307" i="3"/>
  <c r="AZ122" i="3"/>
  <c r="S25" i="37"/>
  <c r="BL484" i="3"/>
  <c r="AZ524" i="3"/>
  <c r="BL532" i="3"/>
  <c r="AZ532" i="3"/>
  <c r="AB42" i="34"/>
  <c r="S40" i="33"/>
  <c r="W24" i="35"/>
  <c r="E5" i="6"/>
  <c r="D12" i="11"/>
  <c r="C12" i="11"/>
  <c r="J12" i="36"/>
  <c r="H12" i="36"/>
  <c r="G519" i="3"/>
  <c r="G481" i="3"/>
  <c r="J9" i="36"/>
  <c r="F9" i="36"/>
  <c r="AZ420" i="3"/>
  <c r="AZ491" i="3"/>
  <c r="AC30" i="37"/>
  <c r="AZ370" i="3"/>
  <c r="AZ344" i="3"/>
  <c r="AZ323" i="3"/>
  <c r="AZ135" i="3"/>
  <c r="F36" i="35"/>
  <c r="BL482" i="3"/>
  <c r="BL516" i="3"/>
  <c r="AZ516" i="3"/>
  <c r="BL562" i="3"/>
  <c r="AZ562" i="3"/>
  <c r="H28" i="37"/>
  <c r="S31" i="33"/>
  <c r="J31" i="33"/>
  <c r="H5" i="3"/>
  <c r="BA570" i="3"/>
  <c r="AZ570" i="3"/>
  <c r="BE5" i="3"/>
  <c r="H12" i="35"/>
  <c r="J34" i="35"/>
  <c r="F34" i="35"/>
  <c r="H9" i="36"/>
  <c r="J24" i="36"/>
  <c r="J25" i="37"/>
  <c r="H25" i="37"/>
  <c r="A2" i="55"/>
  <c r="B55" i="63"/>
  <c r="AZ391" i="3"/>
  <c r="AZ404" i="3"/>
  <c r="BL414" i="3"/>
  <c r="AZ414" i="3"/>
  <c r="AZ421" i="3"/>
  <c r="AZ433" i="3"/>
  <c r="AZ448" i="3"/>
  <c r="BA396" i="3"/>
  <c r="AZ396" i="3"/>
  <c r="BL397" i="3"/>
  <c r="BA400" i="3"/>
  <c r="AZ400" i="3"/>
  <c r="G408" i="3"/>
  <c r="BL408" i="3"/>
  <c r="AZ408" i="3"/>
  <c r="BA412" i="3"/>
  <c r="G416" i="3"/>
  <c r="BL417" i="3"/>
  <c r="BL418" i="3"/>
  <c r="AZ418" i="3"/>
  <c r="G424" i="3"/>
  <c r="BL424" i="3"/>
  <c r="AZ424" i="3"/>
  <c r="BL431" i="3"/>
  <c r="BA435" i="3"/>
  <c r="AZ435" i="3"/>
  <c r="BA437" i="3"/>
  <c r="BL440" i="3"/>
  <c r="AZ440" i="3"/>
  <c r="G452" i="3"/>
  <c r="BL455" i="3"/>
  <c r="AZ456" i="3"/>
  <c r="BA457" i="3"/>
  <c r="G460" i="3"/>
  <c r="BA462" i="3"/>
  <c r="BL464" i="3"/>
  <c r="BA473" i="3"/>
  <c r="G476" i="3"/>
  <c r="BA478" i="3"/>
  <c r="BL480" i="3"/>
  <c r="AZ480" i="3"/>
  <c r="BL312" i="3"/>
  <c r="AZ312" i="3"/>
  <c r="BA389" i="3"/>
  <c r="AZ389" i="3"/>
  <c r="BA393" i="3"/>
  <c r="AZ393" i="3"/>
  <c r="BL398" i="3"/>
  <c r="AZ398" i="3"/>
  <c r="BA401" i="3"/>
  <c r="AZ401" i="3"/>
  <c r="BL402" i="3"/>
  <c r="AZ402" i="3"/>
  <c r="BL404" i="3"/>
  <c r="AZ407" i="3"/>
  <c r="AZ416" i="3"/>
  <c r="BL420" i="3"/>
  <c r="BA423" i="3"/>
  <c r="AZ423" i="3"/>
  <c r="AZ431" i="3"/>
  <c r="AZ460" i="3"/>
  <c r="AZ476" i="3"/>
  <c r="AZ319" i="3"/>
  <c r="AZ335" i="3"/>
  <c r="BA572" i="3"/>
  <c r="AZ572" i="3"/>
  <c r="B101" i="46"/>
  <c r="B79" i="46"/>
  <c r="BA390" i="3"/>
  <c r="AZ390" i="3"/>
  <c r="BA394" i="3"/>
  <c r="AZ394" i="3"/>
  <c r="BL395" i="3"/>
  <c r="BL399" i="3"/>
  <c r="AZ399" i="3"/>
  <c r="G404" i="3"/>
  <c r="BL405" i="3"/>
  <c r="BA409" i="3"/>
  <c r="AZ409" i="3"/>
  <c r="BL412" i="3"/>
  <c r="BA418" i="3"/>
  <c r="BA419" i="3"/>
  <c r="AZ419" i="3"/>
  <c r="G428" i="3"/>
  <c r="BL428" i="3"/>
  <c r="AZ428" i="3"/>
  <c r="BA433" i="3"/>
  <c r="G436" i="3"/>
  <c r="G448" i="3"/>
  <c r="BL456" i="3"/>
  <c r="AZ464" i="3"/>
  <c r="BA465" i="3"/>
  <c r="G468" i="3"/>
  <c r="BA470" i="3"/>
  <c r="BL472" i="3"/>
  <c r="AZ472" i="3"/>
  <c r="G315" i="3"/>
  <c r="BL444" i="3"/>
  <c r="AZ444" i="3"/>
  <c r="BL452" i="3"/>
  <c r="AZ452" i="3"/>
  <c r="BA455" i="3"/>
  <c r="BL318" i="3"/>
  <c r="AZ318" i="3"/>
  <c r="BL334" i="3"/>
  <c r="AZ334" i="3"/>
  <c r="BL350" i="3"/>
  <c r="BA375" i="3"/>
  <c r="AZ375" i="3"/>
  <c r="BA386" i="3"/>
  <c r="AZ386" i="3"/>
  <c r="BL387" i="3"/>
  <c r="AZ387" i="3"/>
  <c r="BA206" i="3"/>
  <c r="BA210" i="3"/>
  <c r="AZ210" i="3"/>
  <c r="BL211" i="3"/>
  <c r="BA214" i="3"/>
  <c r="AZ214" i="3"/>
  <c r="BA218" i="3"/>
  <c r="AZ218" i="3"/>
  <c r="BL219" i="3"/>
  <c r="BA222" i="3"/>
  <c r="AZ222" i="3"/>
  <c r="BA226" i="3"/>
  <c r="AZ226" i="3"/>
  <c r="BL227"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BA270" i="3"/>
  <c r="AZ270" i="3"/>
  <c r="BL271" i="3"/>
  <c r="BA274" i="3"/>
  <c r="AZ274" i="3"/>
  <c r="BL275" i="3"/>
  <c r="AZ275" i="3"/>
  <c r="BA278" i="3"/>
  <c r="AZ278" i="3"/>
  <c r="BL279" i="3"/>
  <c r="BA282" i="3"/>
  <c r="AZ282" i="3"/>
  <c r="BL283" i="3"/>
  <c r="AZ283" i="3"/>
  <c r="BA286" i="3"/>
  <c r="AZ286" i="3"/>
  <c r="BL287" i="3"/>
  <c r="BA290" i="3"/>
  <c r="AZ290" i="3"/>
  <c r="BL291" i="3"/>
  <c r="BL295" i="3"/>
  <c r="AZ295" i="3"/>
  <c r="BL118" i="3"/>
  <c r="AZ118" i="3"/>
  <c r="BA127" i="3"/>
  <c r="AZ127" i="3"/>
  <c r="BL133" i="3"/>
  <c r="BL134" i="3"/>
  <c r="AZ134" i="3"/>
  <c r="G139" i="3"/>
  <c r="G141" i="3"/>
  <c r="BL149" i="3"/>
  <c r="BL150" i="3"/>
  <c r="AZ150" i="3"/>
  <c r="G154" i="3"/>
  <c r="G172" i="3"/>
  <c r="AZ350" i="3"/>
  <c r="AZ351" i="3"/>
  <c r="AZ360" i="3"/>
  <c r="AZ376" i="3"/>
  <c r="AZ388" i="3"/>
  <c r="AZ207" i="3"/>
  <c r="AZ267" i="3"/>
  <c r="AZ279" i="3"/>
  <c r="AZ291" i="3"/>
  <c r="BA117" i="3"/>
  <c r="AZ117" i="3"/>
  <c r="AZ141" i="3"/>
  <c r="BA155" i="3"/>
  <c r="AZ155" i="3"/>
  <c r="AZ172" i="3"/>
  <c r="BA425" i="3"/>
  <c r="AZ425" i="3"/>
  <c r="BA429" i="3"/>
  <c r="AZ429" i="3"/>
  <c r="BL434" i="3"/>
  <c r="AZ434" i="3"/>
  <c r="BL438" i="3"/>
  <c r="AZ438" i="3"/>
  <c r="BA441" i="3"/>
  <c r="AZ441" i="3"/>
  <c r="BA445" i="3"/>
  <c r="AZ445" i="3"/>
  <c r="BA449" i="3"/>
  <c r="AZ449" i="3"/>
  <c r="BA453" i="3"/>
  <c r="AZ453" i="3"/>
  <c r="BL458" i="3"/>
  <c r="AZ458" i="3"/>
  <c r="BA461" i="3"/>
  <c r="AZ461" i="3"/>
  <c r="BL462" i="3"/>
  <c r="BL466" i="3"/>
  <c r="AZ466" i="3"/>
  <c r="BA469" i="3"/>
  <c r="AZ469" i="3"/>
  <c r="BL470" i="3"/>
  <c r="BL474" i="3"/>
  <c r="AZ474" i="3"/>
  <c r="BA477" i="3"/>
  <c r="AZ477" i="3"/>
  <c r="BL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AZ113" i="3"/>
  <c r="BL126" i="3"/>
  <c r="AZ126" i="3"/>
  <c r="BA133" i="3"/>
  <c r="AZ133" i="3"/>
  <c r="BA135" i="3"/>
  <c r="AZ148" i="3"/>
  <c r="BA149" i="3"/>
  <c r="BA151" i="3"/>
  <c r="AZ151" i="3"/>
  <c r="BL164" i="3"/>
  <c r="AZ164" i="3"/>
  <c r="BA166" i="3"/>
  <c r="AZ166" i="3"/>
  <c r="BL169" i="3"/>
  <c r="AZ169" i="3"/>
  <c r="G170"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BA368" i="3"/>
  <c r="AZ368" i="3"/>
  <c r="BA371" i="3"/>
  <c r="AZ371" i="3"/>
  <c r="BA384" i="3"/>
  <c r="AZ384" i="3"/>
  <c r="BA269" i="3"/>
  <c r="AZ269" i="3"/>
  <c r="BA273" i="3"/>
  <c r="AZ273" i="3"/>
  <c r="BA277" i="3"/>
  <c r="AZ277" i="3"/>
  <c r="BA281" i="3"/>
  <c r="AZ281" i="3"/>
  <c r="BA285" i="3"/>
  <c r="AZ285" i="3"/>
  <c r="BA289" i="3"/>
  <c r="AZ289" i="3"/>
  <c r="BA293" i="3"/>
  <c r="AZ293" i="3"/>
  <c r="BL294" i="3"/>
  <c r="AZ294" i="3"/>
  <c r="BL116" i="3"/>
  <c r="BA121" i="3"/>
  <c r="AZ121" i="3"/>
  <c r="BA125" i="3"/>
  <c r="AZ125" i="3"/>
  <c r="G130" i="3"/>
  <c r="BA131" i="3"/>
  <c r="AZ131" i="3"/>
  <c r="BL141" i="3"/>
  <c r="BL142" i="3"/>
  <c r="AZ142" i="3"/>
  <c r="G146" i="3"/>
  <c r="BA147" i="3"/>
  <c r="AZ147" i="3"/>
  <c r="BL155" i="3"/>
  <c r="G156" i="3"/>
  <c r="BA159" i="3"/>
  <c r="AZ159" i="3"/>
  <c r="G164" i="3"/>
  <c r="BL156" i="3"/>
  <c r="AZ156" i="3"/>
  <c r="BA163" i="3"/>
  <c r="AZ163" i="3"/>
  <c r="BL165" i="3"/>
  <c r="AZ165" i="3"/>
  <c r="BL173" i="3"/>
  <c r="AZ173" i="3"/>
  <c r="BL182" i="3"/>
  <c r="BA185" i="3"/>
  <c r="AZ185" i="3"/>
  <c r="AZ202" i="3"/>
  <c r="AZ28" i="3"/>
  <c r="AZ34" i="3"/>
  <c r="AZ41" i="3"/>
  <c r="AZ83" i="3"/>
  <c r="AZ105" i="3"/>
  <c r="BL191" i="3"/>
  <c r="AZ191" i="3"/>
  <c r="BL199" i="3"/>
  <c r="AZ199" i="3"/>
  <c r="BA203" i="3"/>
  <c r="AZ203" i="3"/>
  <c r="BL204" i="3"/>
  <c r="AZ204" i="3"/>
  <c r="BL24" i="3"/>
  <c r="AZ24" i="3"/>
  <c r="BL25" i="3"/>
  <c r="BA30" i="3"/>
  <c r="AZ30" i="3"/>
  <c r="AZ36" i="3"/>
  <c r="BA37" i="3"/>
  <c r="BA53" i="3"/>
  <c r="AZ53" i="3"/>
  <c r="BA63" i="3"/>
  <c r="AZ73" i="3"/>
  <c r="AZ77" i="3"/>
  <c r="BA120" i="3"/>
  <c r="AZ120" i="3"/>
  <c r="BL122" i="3"/>
  <c r="BA128" i="3"/>
  <c r="AZ128" i="3"/>
  <c r="BL129" i="3"/>
  <c r="AZ129" i="3"/>
  <c r="BA136" i="3"/>
  <c r="AZ136" i="3"/>
  <c r="BL138" i="3"/>
  <c r="AZ138" i="3"/>
  <c r="BA144" i="3"/>
  <c r="AZ144" i="3"/>
  <c r="BL145" i="3"/>
  <c r="AZ145" i="3"/>
  <c r="BL153" i="3"/>
  <c r="AZ153" i="3"/>
  <c r="BL161" i="3"/>
  <c r="AZ161" i="3"/>
  <c r="BA167" i="3"/>
  <c r="AZ167" i="3"/>
  <c r="BL168" i="3"/>
  <c r="BA175" i="3"/>
  <c r="AZ175" i="3"/>
  <c r="BL176" i="3"/>
  <c r="BA179" i="3"/>
  <c r="AZ179" i="3"/>
  <c r="BA181" i="3"/>
  <c r="AZ181" i="3"/>
  <c r="BL186" i="3"/>
  <c r="AZ186" i="3"/>
  <c r="BA189" i="3"/>
  <c r="AZ189" i="3"/>
  <c r="BL194" i="3"/>
  <c r="BA197" i="3"/>
  <c r="AZ197" i="3"/>
  <c r="BL26" i="3"/>
  <c r="BL27" i="3"/>
  <c r="AZ27" i="3"/>
  <c r="G33" i="3"/>
  <c r="BL33" i="3"/>
  <c r="BA38" i="3"/>
  <c r="AZ38" i="3"/>
  <c r="BL41" i="3"/>
  <c r="BL42" i="3"/>
  <c r="AZ42" i="3"/>
  <c r="BL44" i="3"/>
  <c r="G49" i="3"/>
  <c r="BL49" i="3"/>
  <c r="BA54" i="3"/>
  <c r="BA58" i="3"/>
  <c r="BA62" i="3"/>
  <c r="AZ62" i="3"/>
  <c r="BA64" i="3"/>
  <c r="AZ64" i="3"/>
  <c r="BA69" i="3"/>
  <c r="AZ69" i="3"/>
  <c r="AZ101" i="3"/>
  <c r="BL132" i="3"/>
  <c r="AZ132" i="3"/>
  <c r="BA137" i="3"/>
  <c r="AZ137" i="3"/>
  <c r="BL140" i="3"/>
  <c r="AZ140" i="3"/>
  <c r="BL148" i="3"/>
  <c r="BA152" i="3"/>
  <c r="AZ152" i="3"/>
  <c r="BA158" i="3"/>
  <c r="AZ158" i="3"/>
  <c r="BA160" i="3"/>
  <c r="AZ160" i="3"/>
  <c r="BL171" i="3"/>
  <c r="AZ171" i="3"/>
  <c r="BL177" i="3"/>
  <c r="AZ177" i="3"/>
  <c r="BL187" i="3"/>
  <c r="AZ187" i="3"/>
  <c r="BL195" i="3"/>
  <c r="AZ195" i="3"/>
  <c r="BA21" i="3"/>
  <c r="AZ21" i="3"/>
  <c r="BL22" i="3"/>
  <c r="AZ22" i="3"/>
  <c r="BA25" i="3"/>
  <c r="AZ26" i="3"/>
  <c r="G29" i="3"/>
  <c r="BL29" i="3"/>
  <c r="AZ29" i="3"/>
  <c r="BA32" i="3"/>
  <c r="AZ32" i="3"/>
  <c r="BL37" i="3"/>
  <c r="G41" i="3"/>
  <c r="BA44" i="3"/>
  <c r="AZ44" i="3"/>
  <c r="BL48" i="3"/>
  <c r="AZ48" i="3"/>
  <c r="AZ49" i="3"/>
  <c r="BL53" i="3"/>
  <c r="G57" i="3"/>
  <c r="BA61" i="3"/>
  <c r="BL63" i="3"/>
  <c r="G67" i="3"/>
  <c r="BL67" i="3"/>
  <c r="AZ67" i="3"/>
  <c r="AZ93" i="3"/>
  <c r="AZ97" i="3"/>
  <c r="BA31" i="3"/>
  <c r="AZ31" i="3"/>
  <c r="BA35" i="3"/>
  <c r="AZ35" i="3"/>
  <c r="BL36" i="3"/>
  <c r="BL40" i="3"/>
  <c r="AZ40" i="3"/>
  <c r="BA47" i="3"/>
  <c r="AZ47" i="3"/>
  <c r="BA51" i="3"/>
  <c r="AZ51" i="3"/>
  <c r="BL52" i="3"/>
  <c r="AZ52" i="3"/>
  <c r="BL56" i="3"/>
  <c r="AZ56" i="3"/>
  <c r="BL59" i="3"/>
  <c r="AZ59" i="3"/>
  <c r="BA65" i="3"/>
  <c r="AZ65" i="3"/>
  <c r="BL70" i="3"/>
  <c r="AZ70" i="3"/>
  <c r="BA72" i="3"/>
  <c r="AZ72" i="3"/>
  <c r="BL73" i="3"/>
  <c r="BA88" i="3"/>
  <c r="AZ88" i="3"/>
  <c r="BL89" i="3"/>
  <c r="AZ89" i="3"/>
  <c r="BA92" i="3"/>
  <c r="AZ92" i="3"/>
  <c r="BL93" i="3"/>
  <c r="BA104" i="3"/>
  <c r="AZ104" i="3"/>
  <c r="BL105" i="3"/>
  <c r="BA108" i="3"/>
  <c r="AZ108" i="3"/>
  <c r="BL109" i="3"/>
  <c r="BA112" i="3"/>
  <c r="AZ112" i="3"/>
  <c r="B88" i="46"/>
  <c r="C27" i="40"/>
  <c r="N66" i="59"/>
  <c r="N67" i="59"/>
  <c r="AA28" i="59"/>
  <c r="AA22" i="59"/>
  <c r="AZ109" i="3"/>
  <c r="S18" i="36"/>
  <c r="D67" i="59"/>
  <c r="O66" i="59"/>
  <c r="Y34" i="59"/>
  <c r="Z34" i="59"/>
  <c r="C35" i="59"/>
  <c r="C40" i="59"/>
  <c r="D39" i="59"/>
  <c r="C60" i="59"/>
  <c r="D59" i="59"/>
  <c r="Q67" i="59"/>
  <c r="Q66" i="59"/>
  <c r="AA26" i="59"/>
  <c r="BA78" i="3"/>
  <c r="AZ78" i="3"/>
  <c r="BA82" i="3"/>
  <c r="AZ82" i="3"/>
  <c r="BL83" i="3"/>
  <c r="BA86" i="3"/>
  <c r="AZ86" i="3"/>
  <c r="BL87" i="3"/>
  <c r="AZ87" i="3"/>
  <c r="BL91" i="3"/>
  <c r="AZ91" i="3"/>
  <c r="BA98" i="3"/>
  <c r="AZ98" i="3"/>
  <c r="BA102" i="3"/>
  <c r="AZ102" i="3"/>
  <c r="BL103" i="3"/>
  <c r="AZ103" i="3"/>
  <c r="BL107" i="3"/>
  <c r="AZ107" i="3"/>
  <c r="AA21" i="34"/>
  <c r="S21" i="34"/>
  <c r="Y30" i="59"/>
  <c r="Z30" i="59"/>
  <c r="C31" i="59"/>
  <c r="Y29" i="59"/>
  <c r="Z29" i="59"/>
  <c r="Y28" i="59"/>
  <c r="Z28" i="59"/>
  <c r="Y31" i="59"/>
  <c r="Z31" i="59"/>
  <c r="Y32" i="59"/>
  <c r="Z32" i="59"/>
  <c r="Y33" i="59"/>
  <c r="Z33" i="59"/>
  <c r="E35" i="59"/>
  <c r="E36" i="59"/>
  <c r="E37" i="59"/>
  <c r="U37" i="59"/>
  <c r="AA34" i="59"/>
  <c r="AA31" i="59"/>
  <c r="AA30" i="59"/>
  <c r="AA5" i="59"/>
  <c r="AA6" i="59"/>
  <c r="AA8" i="59"/>
  <c r="AA7" i="59"/>
  <c r="AA10" i="59"/>
  <c r="AA11" i="59"/>
  <c r="AA40" i="59"/>
  <c r="AA38" i="59"/>
  <c r="BL39" i="3"/>
  <c r="AZ39" i="3"/>
  <c r="BL43" i="3"/>
  <c r="AZ43" i="3"/>
  <c r="BA46" i="3"/>
  <c r="AZ46" i="3"/>
  <c r="BA50" i="3"/>
  <c r="AZ50" i="3"/>
  <c r="BL55" i="3"/>
  <c r="AZ55" i="3"/>
  <c r="BA57" i="3"/>
  <c r="AZ57" i="3"/>
  <c r="BL58" i="3"/>
  <c r="BA60" i="3"/>
  <c r="AZ60" i="3"/>
  <c r="BL61" i="3"/>
  <c r="BA68" i="3"/>
  <c r="AZ68" i="3"/>
  <c r="BL69" i="3"/>
  <c r="BA75" i="3"/>
  <c r="AZ75" i="3"/>
  <c r="BL76" i="3"/>
  <c r="BA79" i="3"/>
  <c r="AZ79" i="3"/>
  <c r="BL80" i="3"/>
  <c r="BL84" i="3"/>
  <c r="AZ84" i="3"/>
  <c r="BA95" i="3"/>
  <c r="AZ95" i="3"/>
  <c r="BL96" i="3"/>
  <c r="BA99" i="3"/>
  <c r="AZ99" i="3"/>
  <c r="BL100" i="3"/>
  <c r="AZ100" i="3"/>
  <c r="BA111" i="3"/>
  <c r="AZ111" i="3"/>
  <c r="AA18" i="35"/>
  <c r="S18" i="35"/>
  <c r="O67" i="59"/>
  <c r="C45" i="59"/>
  <c r="D44" i="59"/>
  <c r="E41" i="59"/>
  <c r="U41" i="59"/>
  <c r="X6" i="59"/>
  <c r="X8" i="59"/>
  <c r="X5" i="59"/>
  <c r="X7" i="59"/>
  <c r="X10" i="59"/>
  <c r="X40" i="59"/>
  <c r="X3" i="59"/>
  <c r="X27" i="59"/>
  <c r="X39" i="59"/>
  <c r="X37" i="59"/>
  <c r="L76" i="9"/>
  <c r="K76" i="9"/>
  <c r="Y24" i="59"/>
  <c r="Z24" i="59"/>
  <c r="AA24" i="59"/>
  <c r="X22" i="59"/>
  <c r="Y13" i="59"/>
  <c r="Z13" i="59"/>
  <c r="Y15" i="59"/>
  <c r="Z15" i="59"/>
  <c r="AA12" i="59"/>
  <c r="D68" i="59"/>
  <c r="AB28" i="59"/>
  <c r="AB29" i="59"/>
  <c r="X28" i="59"/>
  <c r="AA32" i="59"/>
  <c r="AA33" i="59"/>
  <c r="AA36" i="59"/>
  <c r="AA37" i="59"/>
  <c r="F80" i="59"/>
  <c r="F79" i="59"/>
  <c r="AA29" i="59"/>
  <c r="A26" i="51"/>
  <c r="B19" i="63" s="1"/>
  <c r="AB34" i="59"/>
  <c r="X30" i="59"/>
  <c r="F28" i="59"/>
  <c r="F27" i="59"/>
  <c r="S25" i="59"/>
  <c r="B24" i="59"/>
  <c r="B23" i="59"/>
  <c r="B22" i="59"/>
  <c r="B21" i="59"/>
  <c r="X19" i="59"/>
  <c r="AA19" i="59"/>
  <c r="AA16" i="59"/>
  <c r="AA13" i="59"/>
  <c r="AA3" i="59"/>
  <c r="AA15" i="59"/>
  <c r="AA14" i="59"/>
  <c r="AA18" i="59"/>
  <c r="S21" i="37"/>
  <c r="C84" i="59"/>
  <c r="C80" i="59"/>
  <c r="Y27" i="59"/>
  <c r="Z27" i="59"/>
  <c r="AA27" i="59"/>
  <c r="AA39" i="59"/>
  <c r="AB6" i="59"/>
  <c r="AB8" i="59"/>
  <c r="AB7" i="59"/>
  <c r="AB5" i="59"/>
  <c r="AB11" i="59"/>
  <c r="AB10" i="59"/>
  <c r="E64" i="59"/>
  <c r="E65" i="59"/>
  <c r="U65" i="59"/>
  <c r="F72" i="59"/>
  <c r="F71" i="59"/>
  <c r="AB37" i="59"/>
  <c r="C28" i="59"/>
  <c r="E29" i="59"/>
  <c r="AB24" i="59"/>
  <c r="Y19" i="59"/>
  <c r="Z19" i="59"/>
  <c r="Y14" i="59"/>
  <c r="Z14" i="59"/>
  <c r="AB19" i="59"/>
  <c r="Y11" i="59"/>
  <c r="Z11" i="59"/>
  <c r="D81" i="59"/>
  <c r="AB26" i="59"/>
  <c r="X31" i="59"/>
  <c r="X32" i="59"/>
  <c r="X35" i="59"/>
  <c r="X36" i="59"/>
  <c r="AB39" i="59"/>
  <c r="AB30" i="59"/>
  <c r="O76" i="9"/>
  <c r="D29" i="59"/>
  <c r="Y25" i="59"/>
  <c r="Z25" i="59"/>
  <c r="P62" i="15"/>
  <c r="P75" i="15"/>
  <c r="AB25" i="59"/>
  <c r="X24" i="59"/>
  <c r="X15" i="59"/>
  <c r="X18" i="59"/>
  <c r="X12" i="59"/>
  <c r="X13" i="59"/>
  <c r="AB16" i="59"/>
  <c r="Y18" i="59"/>
  <c r="Z18" i="59"/>
  <c r="AB18" i="59"/>
  <c r="X17" i="59"/>
  <c r="AB12" i="59"/>
  <c r="Y12" i="59"/>
  <c r="Z12" i="59"/>
  <c r="X14" i="59"/>
  <c r="X26" i="59"/>
  <c r="Y7" i="59"/>
  <c r="Z7" i="59"/>
  <c r="Y8" i="59"/>
  <c r="Z8" i="59"/>
  <c r="Y5" i="59"/>
  <c r="Z5" i="59"/>
  <c r="Y6" i="59"/>
  <c r="Z6" i="59"/>
  <c r="Y10" i="59"/>
  <c r="Z10" i="59"/>
  <c r="AB14" i="59"/>
  <c r="AB15" i="59"/>
  <c r="X11" i="59"/>
  <c r="D65" i="46"/>
  <c r="D50" i="46"/>
  <c r="F36" i="44"/>
  <c r="M22" i="44"/>
  <c r="M20" i="15"/>
  <c r="C6" i="12"/>
  <c r="C24" i="12"/>
  <c r="E29" i="6"/>
  <c r="BL13" i="3"/>
  <c r="BL5" i="3"/>
  <c r="L19" i="6"/>
  <c r="L27" i="6"/>
  <c r="F30" i="6"/>
  <c r="C7" i="21"/>
  <c r="C58" i="21"/>
  <c r="D58" i="21"/>
  <c r="E58" i="21"/>
  <c r="C7" i="33"/>
  <c r="C58" i="33"/>
  <c r="D58" i="33"/>
  <c r="E58" i="33"/>
  <c r="F58" i="33"/>
  <c r="G58" i="33"/>
  <c r="C7" i="34"/>
  <c r="C59" i="34"/>
  <c r="C9" i="39"/>
  <c r="C69" i="39"/>
  <c r="C71" i="39"/>
  <c r="C9" i="40"/>
  <c r="C64" i="40"/>
  <c r="N67" i="9"/>
  <c r="D38" i="4"/>
  <c r="C39" i="4"/>
  <c r="G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H50" i="46"/>
  <c r="H51" i="46"/>
  <c r="H56" i="46"/>
  <c r="H55" i="46"/>
  <c r="H58" i="46"/>
  <c r="H53" i="46"/>
  <c r="H54" i="46"/>
  <c r="BA13" i="3"/>
  <c r="AZ13" i="3"/>
  <c r="E8" i="6"/>
  <c r="AZ20"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B21" i="63"/>
  <c r="N4" i="63"/>
  <c r="A9" i="51"/>
  <c r="B9" i="63" s="1"/>
  <c r="A28" i="64"/>
  <c r="L16" i="4"/>
  <c r="N16" i="4"/>
  <c r="O39" i="9"/>
  <c r="R6" i="54"/>
  <c r="B50" i="63"/>
  <c r="N69" i="9"/>
  <c r="R7" i="54"/>
  <c r="B52" i="63"/>
  <c r="A3" i="55"/>
  <c r="B56" i="63"/>
  <c r="B37" i="50"/>
  <c r="B2" i="63" s="1"/>
  <c r="X9" i="59"/>
  <c r="AB9" i="59"/>
  <c r="Y9" i="59"/>
  <c r="Z9" i="59" s="1"/>
  <c r="AA9" i="59"/>
  <c r="S17" i="40"/>
  <c r="AB17" i="40"/>
  <c r="W35" i="40"/>
  <c r="S11" i="40"/>
  <c r="S10" i="40"/>
  <c r="S27" i="40"/>
  <c r="AC31" i="39"/>
  <c r="AC47" i="39"/>
  <c r="U40" i="39"/>
  <c r="AA42" i="39"/>
  <c r="S42" i="39"/>
  <c r="AA36" i="39"/>
  <c r="S36" i="39"/>
  <c r="G21" i="46"/>
  <c r="C20" i="46"/>
  <c r="E10" i="46"/>
  <c r="E11" i="46"/>
  <c r="E9" i="46"/>
  <c r="E8" i="46"/>
  <c r="H16" i="1"/>
  <c r="G27" i="12"/>
  <c r="G13" i="3"/>
  <c r="Q16" i="1"/>
  <c r="F34" i="44"/>
  <c r="F24" i="43"/>
  <c r="C24" i="43"/>
  <c r="C25" i="43"/>
  <c r="C2" i="65"/>
  <c r="I1" i="65"/>
  <c r="G20" i="43"/>
  <c r="G26" i="12"/>
  <c r="F70" i="9"/>
  <c r="F66" i="9"/>
  <c r="P72" i="9"/>
  <c r="F28" i="15"/>
  <c r="C28" i="15"/>
  <c r="F30" i="44"/>
  <c r="C30" i="44"/>
  <c r="D86" i="9"/>
  <c r="F29" i="12"/>
  <c r="F32" i="15"/>
  <c r="F59" i="15"/>
  <c r="F71" i="9"/>
  <c r="K15" i="1"/>
  <c r="O11" i="1"/>
  <c r="P11" i="1"/>
  <c r="O6" i="1"/>
  <c r="P6" i="1"/>
  <c r="C15" i="12"/>
  <c r="O7" i="1"/>
  <c r="P7" i="1"/>
  <c r="O12" i="1"/>
  <c r="P12" i="1"/>
  <c r="O10" i="1"/>
  <c r="P10" i="1"/>
  <c r="O9" i="1"/>
  <c r="P9" i="1"/>
  <c r="O13" i="1"/>
  <c r="P13" i="1"/>
  <c r="G10" i="1"/>
  <c r="G13" i="1"/>
  <c r="C95" i="9"/>
  <c r="C92" i="9"/>
  <c r="C25" i="12"/>
  <c r="C15" i="43"/>
  <c r="D23" i="15"/>
  <c r="L52" i="37"/>
  <c r="M52" i="37"/>
  <c r="N52" i="37"/>
  <c r="O52" i="37"/>
  <c r="I46" i="36"/>
  <c r="F58" i="21"/>
  <c r="G58" i="21"/>
  <c r="H58" i="21"/>
  <c r="I58" i="21"/>
  <c r="J58" i="21"/>
  <c r="K58" i="21"/>
  <c r="L58" i="21"/>
  <c r="M58" i="21"/>
  <c r="N58" i="21"/>
  <c r="O58" i="21"/>
  <c r="D59" i="34"/>
  <c r="E59" i="34"/>
  <c r="F59" i="34"/>
  <c r="G59" i="34"/>
  <c r="H59" i="34"/>
  <c r="I59" i="34"/>
  <c r="J59" i="34"/>
  <c r="K59" i="34"/>
  <c r="L59" i="34"/>
  <c r="M59" i="34"/>
  <c r="N59" i="34"/>
  <c r="O59" i="34"/>
  <c r="D69" i="39"/>
  <c r="C66" i="40"/>
  <c r="D64" i="40"/>
  <c r="K77" i="9"/>
  <c r="K79" i="9"/>
  <c r="K81" i="9"/>
  <c r="E17" i="59"/>
  <c r="X16" i="59"/>
  <c r="Y16" i="59"/>
  <c r="Z16" i="59"/>
  <c r="Y3" i="59"/>
  <c r="Z3" i="59"/>
  <c r="AB17" i="59"/>
  <c r="AA17" i="59"/>
  <c r="Y17" i="59"/>
  <c r="Z17" i="59"/>
  <c r="P26" i="46"/>
  <c r="P28" i="46"/>
  <c r="P29" i="46"/>
  <c r="B72" i="39"/>
  <c r="P25" i="46"/>
  <c r="I54" i="15"/>
  <c r="M17" i="15"/>
  <c r="E53" i="40"/>
  <c r="E53" i="76"/>
  <c r="B67" i="40"/>
  <c r="B67" i="76"/>
  <c r="A1" i="70"/>
  <c r="D64" i="76"/>
  <c r="C66" i="76"/>
  <c r="U12" i="37"/>
  <c r="AB12" i="37"/>
  <c r="D21" i="12"/>
  <c r="C21" i="12" s="1"/>
  <c r="H58" i="33"/>
  <c r="I58" i="33"/>
  <c r="J58" i="33"/>
  <c r="K58" i="33"/>
  <c r="L58" i="33"/>
  <c r="M58" i="33"/>
  <c r="N58" i="33"/>
  <c r="O58" i="33"/>
  <c r="J7" i="33"/>
  <c r="D80" i="59"/>
  <c r="C79" i="59"/>
  <c r="D79" i="59"/>
  <c r="AZ455" i="3"/>
  <c r="AB9" i="36"/>
  <c r="U9" i="36"/>
  <c r="AA9" i="36"/>
  <c r="S9" i="36"/>
  <c r="U12" i="36"/>
  <c r="AB12" i="36"/>
  <c r="U34" i="36"/>
  <c r="AB34" i="36"/>
  <c r="AB25" i="35"/>
  <c r="U25" i="35"/>
  <c r="W9" i="21"/>
  <c r="AC9" i="21"/>
  <c r="E15" i="6"/>
  <c r="E61" i="76"/>
  <c r="O23" i="46"/>
  <c r="C83" i="59"/>
  <c r="D83" i="59"/>
  <c r="D84" i="59"/>
  <c r="D31" i="59"/>
  <c r="C32" i="59"/>
  <c r="D40" i="59"/>
  <c r="C41" i="59"/>
  <c r="AZ61" i="3"/>
  <c r="AZ25" i="3"/>
  <c r="AZ58" i="3"/>
  <c r="AZ5" i="3"/>
  <c r="E3" i="6"/>
  <c r="D16" i="43"/>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c r="E14" i="59"/>
  <c r="E13" i="59"/>
  <c r="U17" i="59"/>
  <c r="C36" i="59"/>
  <c r="D35" i="59"/>
  <c r="AZ462" i="3"/>
  <c r="W25" i="37"/>
  <c r="AC25" i="37"/>
  <c r="AC34" i="35"/>
  <c r="W34" i="35"/>
  <c r="AC42" i="40"/>
  <c r="W42" i="40"/>
  <c r="W38" i="39"/>
  <c r="AC38" i="39"/>
  <c r="S44" i="33"/>
  <c r="AA44" i="33"/>
  <c r="U27" i="33"/>
  <c r="AB27" i="33"/>
  <c r="AA9" i="21"/>
  <c r="S9" i="21"/>
  <c r="U29" i="59"/>
  <c r="E28" i="59"/>
  <c r="E27" i="59"/>
  <c r="P27" i="46"/>
  <c r="D28" i="59"/>
  <c r="C27" i="59"/>
  <c r="D27" i="59"/>
  <c r="B20" i="59"/>
  <c r="B19" i="59"/>
  <c r="B18" i="59"/>
  <c r="B17" i="59"/>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c r="F14" i="59"/>
  <c r="F13" i="59"/>
  <c r="V17" i="59"/>
  <c r="E83" i="46"/>
  <c r="B81" i="46"/>
  <c r="C29" i="12"/>
  <c r="BA5" i="3"/>
  <c r="E12" i="6"/>
  <c r="J7" i="21"/>
  <c r="AC7" i="21"/>
  <c r="V48" i="21"/>
  <c r="I48" i="21"/>
  <c r="E61" i="46"/>
  <c r="B59" i="46"/>
  <c r="E50" i="46"/>
  <c r="B48" i="46"/>
  <c r="C28" i="46"/>
  <c r="E17" i="46"/>
  <c r="C17" i="46"/>
  <c r="D5" i="46" s="1"/>
  <c r="C7" i="46"/>
  <c r="F27" i="6"/>
  <c r="F31" i="6"/>
  <c r="E58" i="39"/>
  <c r="E10" i="6"/>
  <c r="E14" i="6"/>
  <c r="E13" i="6"/>
  <c r="E11" i="6"/>
  <c r="E28" i="6"/>
  <c r="K14" i="1"/>
  <c r="M86" i="9"/>
  <c r="N86" i="9"/>
  <c r="M84" i="9"/>
  <c r="N84" i="9"/>
  <c r="M88" i="9"/>
  <c r="N88" i="9"/>
  <c r="M87" i="9"/>
  <c r="N87" i="9"/>
  <c r="M85" i="9"/>
  <c r="N85" i="9"/>
  <c r="M83" i="9"/>
  <c r="N83" i="9"/>
  <c r="N89" i="9"/>
  <c r="O89" i="9"/>
  <c r="G5" i="3"/>
  <c r="B3" i="3"/>
  <c r="F21" i="43"/>
  <c r="F33" i="12"/>
  <c r="C34" i="12" s="1"/>
  <c r="D33" i="12" s="1"/>
  <c r="E66" i="39"/>
  <c r="E61" i="40"/>
  <c r="H7" i="34"/>
  <c r="U7" i="34"/>
  <c r="F7" i="34"/>
  <c r="AA7" i="34"/>
  <c r="R49" i="34"/>
  <c r="J7" i="34"/>
  <c r="W7" i="34"/>
  <c r="F7" i="21"/>
  <c r="AA7" i="21"/>
  <c r="R48" i="21"/>
  <c r="H7" i="21"/>
  <c r="AB7" i="21"/>
  <c r="T48" i="21"/>
  <c r="G48" i="21"/>
  <c r="E12" i="59"/>
  <c r="U13" i="59"/>
  <c r="F58" i="15"/>
  <c r="H7" i="35"/>
  <c r="U7" i="35"/>
  <c r="E64" i="40"/>
  <c r="D66" i="40"/>
  <c r="AC7" i="33"/>
  <c r="V48" i="33"/>
  <c r="I48" i="33"/>
  <c r="W7" i="33"/>
  <c r="J7" i="37"/>
  <c r="D71" i="39"/>
  <c r="E69" i="39"/>
  <c r="H7" i="33"/>
  <c r="F7" i="33"/>
  <c r="J46" i="36"/>
  <c r="J7" i="35"/>
  <c r="F7" i="35"/>
  <c r="H7" i="37"/>
  <c r="F7" i="37"/>
  <c r="M19" i="44"/>
  <c r="M32" i="46"/>
  <c r="P32" i="46"/>
  <c r="O32" i="46"/>
  <c r="N32" i="46"/>
  <c r="AE12" i="1"/>
  <c r="AE7" i="1"/>
  <c r="AE8" i="1"/>
  <c r="AE9" i="1"/>
  <c r="AE10" i="1"/>
  <c r="AE11" i="1"/>
  <c r="E63" i="39"/>
  <c r="E58" i="76"/>
  <c r="E62" i="39"/>
  <c r="E57" i="76"/>
  <c r="E59" i="40"/>
  <c r="E59" i="76"/>
  <c r="E65" i="39"/>
  <c r="E60" i="76"/>
  <c r="W7" i="21"/>
  <c r="AB7" i="34"/>
  <c r="T49" i="34"/>
  <c r="G49" i="34"/>
  <c r="D66" i="76"/>
  <c r="E64" i="76"/>
  <c r="E58" i="40"/>
  <c r="S7" i="34"/>
  <c r="V13" i="59"/>
  <c r="F12" i="59"/>
  <c r="F11" i="59"/>
  <c r="D36" i="59"/>
  <c r="C37" i="59"/>
  <c r="C18" i="59"/>
  <c r="D19" i="59"/>
  <c r="C33" i="59"/>
  <c r="D32" i="59"/>
  <c r="D61" i="59"/>
  <c r="T61" i="59"/>
  <c r="B16" i="59"/>
  <c r="B15" i="59"/>
  <c r="B14" i="59"/>
  <c r="B13" i="59"/>
  <c r="S17" i="59"/>
  <c r="D41" i="59"/>
  <c r="T41" i="59"/>
  <c r="D46" i="9"/>
  <c r="C21" i="4"/>
  <c r="O5" i="54"/>
  <c r="B45" i="63"/>
  <c r="E6" i="6"/>
  <c r="D13" i="11"/>
  <c r="C13" i="11"/>
  <c r="D44" i="9"/>
  <c r="AC7" i="34"/>
  <c r="V49" i="34"/>
  <c r="I49" i="34"/>
  <c r="AG8" i="1"/>
  <c r="AG9" i="1"/>
  <c r="AG11" i="1"/>
  <c r="AG12" i="1"/>
  <c r="AG10" i="1"/>
  <c r="AG7" i="1"/>
  <c r="AG6" i="1"/>
  <c r="C5" i="46"/>
  <c r="T9" i="46" s="1"/>
  <c r="V9" i="46" s="1"/>
  <c r="D16" i="12"/>
  <c r="D19" i="12" s="1"/>
  <c r="C19" i="12" s="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E66" i="76"/>
  <c r="F64" i="76"/>
  <c r="T37" i="59"/>
  <c r="D37" i="59"/>
  <c r="S13" i="59"/>
  <c r="B12" i="59"/>
  <c r="B11" i="59"/>
  <c r="T33" i="59"/>
  <c r="D33" i="59"/>
  <c r="D22" i="12"/>
  <c r="C22" i="12" s="1"/>
  <c r="C17" i="59"/>
  <c r="D18" i="59"/>
  <c r="T16" i="46"/>
  <c r="V16" i="46" s="1"/>
  <c r="T7" i="46"/>
  <c r="V7" i="46" s="1"/>
  <c r="T2" i="46"/>
  <c r="V2" i="46" s="1"/>
  <c r="T15" i="46"/>
  <c r="V15" i="46" s="1"/>
  <c r="C6" i="66"/>
  <c r="C8" i="66"/>
  <c r="E31" i="6"/>
  <c r="K21" i="6"/>
  <c r="S8" i="1"/>
  <c r="T8" i="46"/>
  <c r="V8" i="46" s="1"/>
  <c r="T10" i="46"/>
  <c r="V10" i="46" s="1"/>
  <c r="G43" i="35"/>
  <c r="H43" i="35"/>
  <c r="T11" i="46"/>
  <c r="V11" i="46" s="1"/>
  <c r="T12" i="46"/>
  <c r="V12" i="46" s="1"/>
  <c r="T5" i="46"/>
  <c r="V5" i="46" s="1"/>
  <c r="T13" i="46"/>
  <c r="V13" i="46" s="1"/>
  <c r="T14" i="46"/>
  <c r="V14" i="46" s="1"/>
  <c r="K26" i="6"/>
  <c r="M26" i="6"/>
  <c r="I26" i="6"/>
  <c r="S26" i="6"/>
  <c r="K20" i="6"/>
  <c r="M20" i="6"/>
  <c r="I20" i="6"/>
  <c r="S20" i="6"/>
  <c r="M21" i="6"/>
  <c r="I21" i="6"/>
  <c r="S21"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F22" i="43"/>
  <c r="O14" i="1"/>
  <c r="B10" i="59"/>
  <c r="E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1" i="46"/>
  <c r="E62" i="76"/>
  <c r="G64" i="76"/>
  <c r="F66" i="76"/>
  <c r="K27" i="6"/>
  <c r="C16" i="59"/>
  <c r="T17" i="59"/>
  <c r="D17" i="59"/>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C17" i="12" s="1"/>
  <c r="O16" i="1"/>
  <c r="L16" i="1"/>
  <c r="C13" i="43"/>
  <c r="C14" i="43" s="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B5" i="66"/>
  <c r="E14" i="66"/>
  <c r="C36" i="40"/>
  <c r="C36" i="76"/>
  <c r="M27" i="6"/>
  <c r="H64" i="76"/>
  <c r="G66" i="76"/>
  <c r="S16" i="1"/>
  <c r="H25" i="6"/>
  <c r="C15" i="59"/>
  <c r="D16" i="59"/>
  <c r="F14" i="66"/>
  <c r="T11" i="1"/>
  <c r="T9" i="1"/>
  <c r="T10" i="1"/>
  <c r="T13" i="1"/>
  <c r="T6" i="1"/>
  <c r="T8" i="1"/>
  <c r="T12" i="1"/>
  <c r="T7" i="1"/>
  <c r="I27" i="6"/>
  <c r="S19" i="6"/>
  <c r="S27" i="6"/>
  <c r="H19" i="6"/>
  <c r="R19" i="6"/>
  <c r="R24" i="6"/>
  <c r="R11" i="1"/>
  <c r="R26" i="6"/>
  <c r="F7" i="59"/>
  <c r="B8" i="59"/>
  <c r="E8" i="59"/>
  <c r="R25" i="6"/>
  <c r="R12" i="1"/>
  <c r="R21" i="6"/>
  <c r="R8" i="1"/>
  <c r="D27" i="6"/>
  <c r="D31" i="6"/>
  <c r="A20" i="64"/>
  <c r="A20" i="51"/>
  <c r="B15" i="63"/>
  <c r="N5" i="54"/>
  <c r="B43" i="63"/>
  <c r="A6" i="51"/>
  <c r="B7" i="63" s="1"/>
  <c r="D6" i="66"/>
  <c r="D8" i="66"/>
  <c r="D7" i="66"/>
  <c r="D16" i="6"/>
  <c r="R23" i="6"/>
  <c r="R10" i="1"/>
  <c r="R20" i="6"/>
  <c r="R7" i="1"/>
  <c r="R6" i="1"/>
  <c r="I64" i="40"/>
  <c r="H66" i="40"/>
  <c r="H71" i="39"/>
  <c r="I69" i="39"/>
  <c r="N46" i="36"/>
  <c r="D5" i="66"/>
  <c r="C5" i="66"/>
  <c r="J36" i="40"/>
  <c r="AC36" i="40" s="1"/>
  <c r="H36" i="40"/>
  <c r="U36" i="40" s="1"/>
  <c r="F36" i="40"/>
  <c r="AA36" i="40" s="1"/>
  <c r="H66" i="76"/>
  <c r="I64" i="76"/>
  <c r="D15" i="59"/>
  <c r="C14" i="59"/>
  <c r="R27" i="6"/>
  <c r="H27" i="6"/>
  <c r="T16" i="1"/>
  <c r="E7" i="59"/>
  <c r="B7" i="59"/>
  <c r="F6" i="59"/>
  <c r="I6" i="6"/>
  <c r="G3" i="46"/>
  <c r="I5" i="6"/>
  <c r="R16" i="1"/>
  <c r="O46" i="36"/>
  <c r="J7" i="36"/>
  <c r="F7" i="36"/>
  <c r="H7" i="36"/>
  <c r="J64" i="40"/>
  <c r="I66" i="40"/>
  <c r="J69" i="39"/>
  <c r="I71" i="39"/>
  <c r="U36" i="76"/>
  <c r="Z7" i="46"/>
  <c r="B117" i="46"/>
  <c r="H26" i="46"/>
  <c r="J26" i="46"/>
  <c r="F26" i="46"/>
  <c r="E26" i="46"/>
  <c r="G26" i="46"/>
  <c r="S36" i="76"/>
  <c r="AB36" i="40"/>
  <c r="W36" i="76"/>
  <c r="I66" i="76"/>
  <c r="J64" i="76"/>
  <c r="D14" i="59"/>
  <c r="C13" i="59"/>
  <c r="F5" i="59"/>
  <c r="V5" i="59"/>
  <c r="B6" i="59"/>
  <c r="E6" i="59"/>
  <c r="K69" i="39"/>
  <c r="J71" i="39"/>
  <c r="U7" i="36"/>
  <c r="AB7" i="36"/>
  <c r="T36" i="36"/>
  <c r="G36" i="36"/>
  <c r="AC7" i="36"/>
  <c r="V36" i="36"/>
  <c r="I36" i="36"/>
  <c r="W7" i="36"/>
  <c r="J66" i="40"/>
  <c r="K64" i="40"/>
  <c r="S7" i="36"/>
  <c r="AA7" i="36"/>
  <c r="R36" i="36"/>
  <c r="D26" i="46"/>
  <c r="C25" i="46"/>
  <c r="C33" i="46"/>
  <c r="E33" i="46" s="1"/>
  <c r="D123" i="46"/>
  <c r="E123" i="46"/>
  <c r="F123" i="46"/>
  <c r="G123" i="46"/>
  <c r="H123" i="46"/>
  <c r="B122" i="46"/>
  <c r="C122" i="46"/>
  <c r="D117" i="46"/>
  <c r="B123" i="46"/>
  <c r="C123" i="46"/>
  <c r="I120" i="46"/>
  <c r="J120" i="46"/>
  <c r="K120" i="46"/>
  <c r="L120" i="46"/>
  <c r="M120" i="46"/>
  <c r="I122" i="46"/>
  <c r="J122" i="46"/>
  <c r="K122" i="46"/>
  <c r="L122" i="46"/>
  <c r="M122" i="46"/>
  <c r="I119" i="46"/>
  <c r="J119" i="46"/>
  <c r="K119" i="46"/>
  <c r="L119" i="46"/>
  <c r="M119" i="46"/>
  <c r="G122" i="46"/>
  <c r="H122" i="46"/>
  <c r="D120" i="46"/>
  <c r="E120" i="46"/>
  <c r="F120" i="46"/>
  <c r="G120" i="46"/>
  <c r="H120" i="46"/>
  <c r="I121" i="46"/>
  <c r="J121" i="46"/>
  <c r="K121" i="46"/>
  <c r="L121" i="46"/>
  <c r="M121" i="46"/>
  <c r="D119" i="46"/>
  <c r="E119" i="46"/>
  <c r="F119" i="46"/>
  <c r="G119" i="46"/>
  <c r="H119" i="46"/>
  <c r="I123" i="46"/>
  <c r="J123" i="46"/>
  <c r="K123" i="46"/>
  <c r="L123" i="46"/>
  <c r="M123" i="46"/>
  <c r="D122" i="46"/>
  <c r="E122" i="46"/>
  <c r="F122" i="46"/>
  <c r="B120" i="46"/>
  <c r="C120" i="46"/>
  <c r="D121" i="46"/>
  <c r="E121" i="46"/>
  <c r="F121" i="46"/>
  <c r="G121" i="46"/>
  <c r="H121" i="46"/>
  <c r="B119" i="46"/>
  <c r="C119" i="46"/>
  <c r="B121" i="46"/>
  <c r="C121" i="46"/>
  <c r="K64" i="76"/>
  <c r="J66" i="76"/>
  <c r="C12" i="59"/>
  <c r="D13" i="59"/>
  <c r="T13" i="59"/>
  <c r="E5" i="59"/>
  <c r="U5" i="59"/>
  <c r="B5" i="59"/>
  <c r="R37" i="36"/>
  <c r="E36" i="36"/>
  <c r="I41" i="36"/>
  <c r="J41" i="36"/>
  <c r="K66" i="40"/>
  <c r="L64" i="40"/>
  <c r="G41" i="36"/>
  <c r="H41" i="36"/>
  <c r="G40" i="36"/>
  <c r="H40" i="36"/>
  <c r="I40" i="36"/>
  <c r="J40" i="36"/>
  <c r="L69" i="39"/>
  <c r="K71" i="39"/>
  <c r="L64" i="76"/>
  <c r="K66" i="76"/>
  <c r="C11" i="59"/>
  <c r="D12" i="59"/>
  <c r="S5" i="59"/>
  <c r="L71" i="39"/>
  <c r="M69" i="39"/>
  <c r="M64" i="40"/>
  <c r="L66" i="40"/>
  <c r="E40" i="36"/>
  <c r="F40" i="36"/>
  <c r="E41" i="36"/>
  <c r="F41" i="36"/>
  <c r="C37" i="36"/>
  <c r="B3" i="36"/>
  <c r="B2" i="36"/>
  <c r="C36" i="36"/>
  <c r="L66" i="76"/>
  <c r="M64" i="76"/>
  <c r="C10" i="59"/>
  <c r="D11" i="59"/>
  <c r="N64" i="40"/>
  <c r="N66" i="40"/>
  <c r="M66" i="40"/>
  <c r="N69" i="39"/>
  <c r="N71" i="39"/>
  <c r="M71" i="39"/>
  <c r="M66" i="76"/>
  <c r="N64" i="76"/>
  <c r="N66" i="76"/>
  <c r="C9" i="59"/>
  <c r="D10" i="59"/>
  <c r="F9" i="40"/>
  <c r="S9" i="40" s="1"/>
  <c r="J9" i="39"/>
  <c r="H9" i="39"/>
  <c r="F9" i="39"/>
  <c r="F9" i="76"/>
  <c r="H9" i="76"/>
  <c r="J9" i="76"/>
  <c r="C8" i="59"/>
  <c r="T9" i="59"/>
  <c r="D9" i="59"/>
  <c r="S9" i="39"/>
  <c r="AA9" i="39"/>
  <c r="R49" i="39"/>
  <c r="E49" i="39" s="1"/>
  <c r="W9" i="39"/>
  <c r="AC9" i="39"/>
  <c r="V49" i="39"/>
  <c r="I49" i="39" s="1"/>
  <c r="I53" i="39" s="1"/>
  <c r="J53" i="39" s="1"/>
  <c r="U9" i="39"/>
  <c r="AB9" i="39"/>
  <c r="T49" i="39"/>
  <c r="G49" i="39" s="1"/>
  <c r="G53" i="39" s="1"/>
  <c r="H53" i="39" s="1"/>
  <c r="AC9" i="76"/>
  <c r="W9" i="76"/>
  <c r="AB9" i="76"/>
  <c r="U9" i="76"/>
  <c r="S9" i="76"/>
  <c r="AA9" i="76"/>
  <c r="D8" i="59"/>
  <c r="C7" i="59"/>
  <c r="D7" i="59"/>
  <c r="C6" i="59"/>
  <c r="D6" i="59"/>
  <c r="C5" i="59"/>
  <c r="D5" i="59"/>
  <c r="T5" i="59"/>
  <c r="M24" i="46"/>
  <c r="D66" i="9"/>
  <c r="N72" i="9"/>
  <c r="L46" i="15"/>
  <c r="AA12" i="40"/>
  <c r="AB12" i="40"/>
  <c r="AC12" i="40"/>
  <c r="S12" i="40"/>
  <c r="U12" i="40"/>
  <c r="W12" i="40"/>
  <c r="F16" i="15"/>
  <c r="F38" i="15"/>
  <c r="M29" i="15"/>
  <c r="B9" i="67"/>
  <c r="F43" i="44"/>
  <c r="F39" i="44"/>
  <c r="E11" i="67"/>
  <c r="M28" i="15"/>
  <c r="E13" i="67"/>
  <c r="M23" i="15"/>
  <c r="M9" i="15"/>
  <c r="F40" i="15"/>
  <c r="J36" i="15"/>
  <c r="F15" i="44"/>
  <c r="L48" i="44"/>
  <c r="B14" i="67"/>
  <c r="E10" i="67"/>
  <c r="F13" i="15"/>
  <c r="B11" i="67"/>
  <c r="J6" i="65"/>
  <c r="J4" i="65"/>
  <c r="M8" i="44"/>
  <c r="F9" i="15"/>
  <c r="F42" i="15"/>
  <c r="M26" i="15"/>
  <c r="N4" i="65"/>
  <c r="N5" i="65"/>
  <c r="I4" i="65"/>
  <c r="B10" i="67"/>
  <c r="M24" i="15"/>
  <c r="E7" i="67"/>
  <c r="N6" i="65"/>
  <c r="F28" i="44"/>
  <c r="F8" i="44"/>
  <c r="F37" i="44"/>
  <c r="F37" i="15"/>
  <c r="F35" i="15"/>
  <c r="F46" i="44"/>
  <c r="I5" i="65"/>
  <c r="L47" i="15"/>
  <c r="M27" i="15"/>
  <c r="B13" i="67"/>
  <c r="C14" i="15"/>
  <c r="F26" i="15"/>
  <c r="F11" i="67"/>
  <c r="E8" i="67"/>
  <c r="C16" i="44"/>
  <c r="M23" i="44"/>
  <c r="F10" i="67"/>
  <c r="M31" i="44"/>
  <c r="F38" i="44"/>
  <c r="J3" i="65"/>
  <c r="M22" i="15"/>
  <c r="B8" i="67"/>
  <c r="F45" i="44"/>
  <c r="L49" i="44"/>
  <c r="I7" i="65"/>
  <c r="C19" i="44"/>
  <c r="M11" i="44"/>
  <c r="I3" i="65"/>
  <c r="F9" i="44"/>
  <c r="M8" i="15"/>
  <c r="B12" i="67"/>
  <c r="L48" i="15"/>
  <c r="J17" i="44"/>
  <c r="F8" i="67"/>
  <c r="F7" i="15"/>
  <c r="I6" i="65"/>
  <c r="M6" i="15"/>
  <c r="F36" i="15"/>
  <c r="F9" i="67"/>
  <c r="M30" i="44"/>
  <c r="N7" i="65"/>
  <c r="J7" i="65"/>
  <c r="E9" i="67"/>
  <c r="F12" i="67"/>
  <c r="M26" i="44"/>
  <c r="F11" i="44"/>
  <c r="E14" i="67"/>
  <c r="E12" i="67"/>
  <c r="J15" i="15"/>
  <c r="F8" i="15"/>
  <c r="N3" i="65"/>
  <c r="B7" i="67"/>
  <c r="F14" i="67"/>
  <c r="J5" i="65"/>
  <c r="F7" i="67"/>
  <c r="F41" i="15"/>
  <c r="F10" i="44"/>
  <c r="M24" i="44"/>
  <c r="M28" i="44"/>
  <c r="M21" i="15"/>
  <c r="M25" i="44"/>
  <c r="M29" i="44"/>
  <c r="F13" i="67"/>
  <c r="F40" i="44"/>
  <c r="M10" i="44"/>
  <c r="F18" i="44"/>
  <c r="F6" i="15"/>
  <c r="F43" i="15"/>
  <c r="C41" i="46" l="1"/>
  <c r="C37" i="46"/>
  <c r="E37" i="46" s="1"/>
  <c r="C39" i="46"/>
  <c r="C40" i="46"/>
  <c r="C38" i="46"/>
  <c r="C42" i="46"/>
  <c r="T6" i="46"/>
  <c r="V6" i="46" s="1"/>
  <c r="T4" i="46"/>
  <c r="V4" i="46" s="1"/>
  <c r="T3" i="46"/>
  <c r="V3" i="46" s="1"/>
  <c r="C34" i="46"/>
  <c r="E34" i="46" s="1"/>
  <c r="G37" i="46"/>
  <c r="I37" i="46" s="1"/>
  <c r="A30" i="51"/>
  <c r="B22" i="63" s="1"/>
  <c r="G11" i="1"/>
  <c r="G6" i="1"/>
  <c r="G8" i="1"/>
  <c r="G12" i="1"/>
  <c r="E54" i="39"/>
  <c r="F54" i="39" s="1"/>
  <c r="A6" i="64"/>
  <c r="G9" i="1"/>
  <c r="C51" i="10"/>
  <c r="A2" i="9"/>
  <c r="A25" i="51"/>
  <c r="B18" i="63" s="1"/>
  <c r="A4" i="64"/>
  <c r="R50" i="39"/>
  <c r="C49" i="39" s="1"/>
  <c r="AP16" i="1"/>
  <c r="E53" i="39"/>
  <c r="F53" i="39" s="1"/>
  <c r="G54" i="39"/>
  <c r="H54" i="39" s="1"/>
  <c r="I54" i="39"/>
  <c r="J54" i="39" s="1"/>
  <c r="W37" i="40"/>
  <c r="F101" i="40"/>
  <c r="F32" i="40"/>
  <c r="S32" i="40" s="1"/>
  <c r="J32" i="40"/>
  <c r="AC32" i="40" s="1"/>
  <c r="H9" i="40"/>
  <c r="U9" i="40" s="1"/>
  <c r="AA9" i="40"/>
  <c r="F77" i="40"/>
  <c r="C14" i="12"/>
  <c r="C17" i="43"/>
  <c r="C18" i="43" s="1"/>
  <c r="C19" i="43" s="1"/>
  <c r="C21" i="43" s="1"/>
  <c r="S36" i="40"/>
  <c r="W36" i="40"/>
  <c r="C18" i="9"/>
  <c r="M43" i="9" s="1"/>
  <c r="C16" i="12"/>
  <c r="E6" i="52"/>
  <c r="E5" i="52"/>
  <c r="B5" i="52"/>
  <c r="C20" i="12"/>
  <c r="E10" i="52"/>
  <c r="E7" i="52"/>
  <c r="J53" i="15"/>
  <c r="J57" i="15"/>
  <c r="J55" i="15" s="1"/>
  <c r="J58" i="15" s="1"/>
  <c r="Q51" i="15" s="1"/>
  <c r="J59" i="15"/>
  <c r="L60" i="15"/>
  <c r="J60" i="15"/>
  <c r="Q49" i="15" s="1"/>
  <c r="L56" i="15"/>
  <c r="L57" i="15"/>
  <c r="L59" i="15"/>
  <c r="L58" i="15"/>
  <c r="J20" i="15"/>
  <c r="J22" i="44"/>
  <c r="C4" i="65"/>
  <c r="B39" i="1" s="1"/>
  <c r="L60" i="44"/>
  <c r="L59" i="44"/>
  <c r="C34" i="15"/>
  <c r="F62" i="15"/>
  <c r="C61" i="15" s="1"/>
  <c r="F64" i="15"/>
  <c r="F50" i="15"/>
  <c r="E3" i="67"/>
  <c r="F68" i="15"/>
  <c r="L57" i="44"/>
  <c r="J58" i="44"/>
  <c r="J56" i="44" s="1"/>
  <c r="J59" i="44" s="1"/>
  <c r="Q52" i="44" s="1"/>
  <c r="I55" i="44"/>
  <c r="J54" i="44"/>
  <c r="C36" i="44"/>
  <c r="C18" i="15"/>
  <c r="C19" i="15"/>
  <c r="C15" i="15"/>
  <c r="B2" i="67"/>
  <c r="C27" i="15"/>
  <c r="M7" i="15"/>
  <c r="J6" i="15" s="1"/>
  <c r="F49" i="15"/>
  <c r="J1" i="65"/>
  <c r="F67" i="15"/>
  <c r="F65" i="15"/>
  <c r="C6" i="15"/>
  <c r="Q73" i="44"/>
  <c r="C17" i="44"/>
  <c r="C20" i="44"/>
  <c r="E4" i="67"/>
  <c r="F63" i="15"/>
  <c r="C29" i="44"/>
  <c r="C8" i="44"/>
  <c r="M9" i="44"/>
  <c r="J8" i="44" s="1"/>
  <c r="Q72" i="15"/>
  <c r="F48" i="15"/>
  <c r="F70" i="15"/>
  <c r="B4" i="52"/>
  <c r="E11" i="52"/>
  <c r="E4" i="52"/>
  <c r="B10" i="52"/>
  <c r="B12" i="52"/>
  <c r="B7" i="52"/>
  <c r="E9" i="52"/>
  <c r="E13" i="52"/>
  <c r="B6" i="52"/>
  <c r="E8" i="52"/>
  <c r="B14" i="52"/>
  <c r="B8" i="52"/>
  <c r="E14" i="52"/>
  <c r="B11" i="52"/>
  <c r="B9" i="52"/>
  <c r="E12" i="52"/>
  <c r="E2" i="65"/>
  <c r="C16" i="15"/>
  <c r="C18" i="44"/>
  <c r="C17" i="15"/>
  <c r="E3" i="65"/>
  <c r="D18" i="9" l="1"/>
  <c r="M44" i="9" s="1"/>
  <c r="E40" i="46"/>
  <c r="G40" i="46"/>
  <c r="I40" i="46" s="1"/>
  <c r="G39" i="46"/>
  <c r="I39" i="46" s="1"/>
  <c r="E39" i="46"/>
  <c r="E42" i="46"/>
  <c r="G42" i="46"/>
  <c r="I42" i="46" s="1"/>
  <c r="E38" i="46"/>
  <c r="G38" i="46"/>
  <c r="I38" i="46" s="1"/>
  <c r="G41" i="46"/>
  <c r="I41" i="46" s="1"/>
  <c r="E41" i="46"/>
  <c r="G77" i="40"/>
  <c r="F13" i="40"/>
  <c r="J13" i="40"/>
  <c r="C50" i="39"/>
  <c r="G16" i="1"/>
  <c r="H12" i="76" s="1"/>
  <c r="B61" i="39"/>
  <c r="F61" i="39" s="1"/>
  <c r="B62" i="39"/>
  <c r="F62" i="39" s="1"/>
  <c r="B66" i="39"/>
  <c r="F66" i="39" s="1"/>
  <c r="B64" i="39"/>
  <c r="F64" i="39" s="1"/>
  <c r="B60" i="39"/>
  <c r="F60" i="39" s="1"/>
  <c r="B59" i="39"/>
  <c r="F59" i="39" s="1"/>
  <c r="B58" i="39"/>
  <c r="F58" i="39" s="1"/>
  <c r="F67" i="39"/>
  <c r="B2" i="39" s="1"/>
  <c r="B65" i="39"/>
  <c r="F65" i="39" s="1"/>
  <c r="B63" i="39"/>
  <c r="F63" i="39" s="1"/>
  <c r="AA32" i="40"/>
  <c r="W32" i="40"/>
  <c r="G101" i="40"/>
  <c r="H101" i="40" s="1"/>
  <c r="I101" i="40" s="1"/>
  <c r="J101" i="40" s="1"/>
  <c r="K101" i="40" s="1"/>
  <c r="L101" i="40" s="1"/>
  <c r="M101" i="40" s="1"/>
  <c r="H32" i="40"/>
  <c r="AB9" i="40"/>
  <c r="J9" i="40"/>
  <c r="C18" i="12"/>
  <c r="C23" i="12" s="1"/>
  <c r="C35" i="12" s="1"/>
  <c r="C33" i="12" s="1"/>
  <c r="B40" i="1"/>
  <c r="F24" i="15" s="1"/>
  <c r="C24" i="15" s="1"/>
  <c r="C48" i="15"/>
  <c r="C60" i="15" s="1"/>
  <c r="F17" i="11"/>
  <c r="C21" i="44"/>
  <c r="J21" i="44"/>
  <c r="J20" i="44"/>
  <c r="J18" i="15"/>
  <c r="J19" i="15"/>
  <c r="C34" i="44"/>
  <c r="C35" i="44"/>
  <c r="C33" i="15"/>
  <c r="C32" i="15"/>
  <c r="C20" i="15"/>
  <c r="C26" i="15" s="1"/>
  <c r="J60" i="44"/>
  <c r="J61" i="44" s="1"/>
  <c r="F1" i="44"/>
  <c r="Q54" i="44"/>
  <c r="F11" i="15"/>
  <c r="M13" i="44"/>
  <c r="J12" i="44" s="1"/>
  <c r="J7" i="44" s="1"/>
  <c r="M11" i="15"/>
  <c r="J10" i="15" s="1"/>
  <c r="J5" i="15" s="1"/>
  <c r="F13" i="44"/>
  <c r="C12" i="44" s="1"/>
  <c r="C7" i="44" s="1"/>
  <c r="Q61" i="15"/>
  <c r="Q74" i="15"/>
  <c r="F1" i="15"/>
  <c r="Q53" i="15"/>
  <c r="B4" i="67"/>
  <c r="B3" i="67"/>
  <c r="Q75" i="44"/>
  <c r="Q62" i="44"/>
  <c r="Q75" i="15"/>
  <c r="Q62" i="15"/>
  <c r="Q67" i="15"/>
  <c r="Q58" i="15"/>
  <c r="Q63" i="44"/>
  <c r="Q76" i="44"/>
  <c r="AE6" i="1"/>
  <c r="C31" i="46" l="1"/>
  <c r="C30" i="46"/>
  <c r="B2" i="46" s="1"/>
  <c r="W13" i="40"/>
  <c r="AC13" i="40"/>
  <c r="S13" i="40"/>
  <c r="AA13" i="40"/>
  <c r="R44" i="40" s="1"/>
  <c r="E44" i="40" s="1"/>
  <c r="E48" i="40" s="1"/>
  <c r="F48" i="40" s="1"/>
  <c r="H77" i="40"/>
  <c r="I77" i="40" s="1"/>
  <c r="J77" i="40" s="1"/>
  <c r="K77" i="40" s="1"/>
  <c r="L77" i="40" s="1"/>
  <c r="M77" i="40" s="1"/>
  <c r="H13" i="40"/>
  <c r="H12" i="39"/>
  <c r="J12" i="76"/>
  <c r="J12" i="39"/>
  <c r="AC12" i="39" s="1"/>
  <c r="F12" i="39"/>
  <c r="S12" i="39" s="1"/>
  <c r="F12" i="76"/>
  <c r="AA12" i="76" s="1"/>
  <c r="R44" i="76" s="1"/>
  <c r="AB12" i="76"/>
  <c r="T44" i="76" s="1"/>
  <c r="G44" i="76" s="1"/>
  <c r="G48" i="76" s="1"/>
  <c r="H48" i="76" s="1"/>
  <c r="U12" i="76"/>
  <c r="W12" i="39"/>
  <c r="AB12" i="39"/>
  <c r="U12" i="39"/>
  <c r="B4" i="39"/>
  <c r="B3" i="39"/>
  <c r="B5" i="39"/>
  <c r="U32" i="40"/>
  <c r="AB32" i="40"/>
  <c r="AC9" i="40"/>
  <c r="V44" i="40" s="1"/>
  <c r="W9" i="40"/>
  <c r="F26" i="12"/>
  <c r="C27" i="12" s="1"/>
  <c r="D26" i="12" s="1"/>
  <c r="C32" i="12" s="1"/>
  <c r="D30" i="12" s="1"/>
  <c r="F26" i="44"/>
  <c r="C26" i="44" s="1"/>
  <c r="L36" i="46"/>
  <c r="L37" i="46" s="1"/>
  <c r="F20" i="43"/>
  <c r="C20" i="43" s="1"/>
  <c r="C23" i="43" s="1"/>
  <c r="J19" i="44"/>
  <c r="C31" i="15"/>
  <c r="C40" i="44"/>
  <c r="J28" i="44"/>
  <c r="J31" i="44" s="1"/>
  <c r="J26" i="44"/>
  <c r="J24" i="15"/>
  <c r="J26" i="15"/>
  <c r="J29" i="15" s="1"/>
  <c r="J17" i="15"/>
  <c r="C52" i="15"/>
  <c r="C47" i="15" s="1"/>
  <c r="C10" i="15"/>
  <c r="C5" i="15" s="1"/>
  <c r="C23" i="15"/>
  <c r="C29" i="15" s="1"/>
  <c r="C22" i="44"/>
  <c r="Q50" i="44"/>
  <c r="L47" i="44"/>
  <c r="C33" i="44"/>
  <c r="B3" i="46" l="1"/>
  <c r="B4" i="46"/>
  <c r="D4" i="46"/>
  <c r="U13" i="40"/>
  <c r="AB13" i="40"/>
  <c r="T44" i="40"/>
  <c r="G44" i="40" s="1"/>
  <c r="E49" i="40" s="1"/>
  <c r="F49" i="40" s="1"/>
  <c r="AA12" i="39"/>
  <c r="S12" i="76"/>
  <c r="W12" i="76"/>
  <c r="AC12" i="76"/>
  <c r="V44" i="76" s="1"/>
  <c r="I44" i="76" s="1"/>
  <c r="E44" i="76"/>
  <c r="R45" i="76"/>
  <c r="I44" i="40"/>
  <c r="D20" i="43"/>
  <c r="C27" i="43" s="1"/>
  <c r="B2" i="43" s="1"/>
  <c r="P36" i="46"/>
  <c r="M36" i="46"/>
  <c r="C25" i="44"/>
  <c r="O36" i="46"/>
  <c r="Q36" i="46"/>
  <c r="N36" i="46"/>
  <c r="C28" i="12"/>
  <c r="C26" i="12" s="1"/>
  <c r="C31" i="12" s="1"/>
  <c r="C30" i="12" s="1"/>
  <c r="C36" i="12" s="1"/>
  <c r="B2" i="12" s="1"/>
  <c r="B3" i="12" s="1"/>
  <c r="C28" i="44"/>
  <c r="C13" i="15"/>
  <c r="C36" i="15"/>
  <c r="C56" i="15"/>
  <c r="C63" i="15" s="1"/>
  <c r="Q50" i="15"/>
  <c r="J14" i="15"/>
  <c r="C59" i="15"/>
  <c r="C58" i="15" s="1"/>
  <c r="C65" i="15"/>
  <c r="Q58" i="44"/>
  <c r="Q49" i="44"/>
  <c r="Q55" i="44" s="1"/>
  <c r="Q67" i="44"/>
  <c r="O37" i="46"/>
  <c r="P37" i="46"/>
  <c r="N37" i="46"/>
  <c r="Q37" i="46"/>
  <c r="M37" i="46"/>
  <c r="C38" i="15"/>
  <c r="G48" i="40" l="1"/>
  <c r="H48" i="40" s="1"/>
  <c r="R45" i="40"/>
  <c r="C45" i="40" s="1"/>
  <c r="I48" i="76"/>
  <c r="J48" i="76" s="1"/>
  <c r="G49" i="76"/>
  <c r="H49" i="76" s="1"/>
  <c r="C45" i="76"/>
  <c r="C44" i="76"/>
  <c r="E8" i="11" s="1"/>
  <c r="C8" i="11" s="1"/>
  <c r="C7" i="11" s="1"/>
  <c r="E48" i="76"/>
  <c r="F48" i="76" s="1"/>
  <c r="E49" i="76"/>
  <c r="F49" i="76" s="1"/>
  <c r="I49" i="76"/>
  <c r="J49" i="76" s="1"/>
  <c r="C44" i="40"/>
  <c r="I48" i="40"/>
  <c r="J48" i="40" s="1"/>
  <c r="I49" i="40"/>
  <c r="J49" i="40" s="1"/>
  <c r="G49" i="40"/>
  <c r="H49" i="40" s="1"/>
  <c r="C31" i="44"/>
  <c r="C38" i="44" s="1"/>
  <c r="B5" i="43"/>
  <c r="B4" i="43"/>
  <c r="B3" i="43"/>
  <c r="B4" i="12"/>
  <c r="B5" i="12"/>
  <c r="J22" i="15"/>
  <c r="J13" i="15"/>
  <c r="J23" i="15" s="1"/>
  <c r="C37" i="15"/>
  <c r="C30" i="15" s="1"/>
  <c r="C39" i="15" s="1"/>
  <c r="Q71" i="15"/>
  <c r="J35" i="15"/>
  <c r="C55" i="15"/>
  <c r="C64" i="15" s="1"/>
  <c r="C57" i="15" s="1"/>
  <c r="C66" i="15" s="1"/>
  <c r="C67" i="15" s="1"/>
  <c r="C18" i="11" l="1"/>
  <c r="C17" i="11"/>
  <c r="B58" i="76"/>
  <c r="F58" i="76" s="1"/>
  <c r="B60" i="76"/>
  <c r="F60" i="76" s="1"/>
  <c r="B56" i="76"/>
  <c r="F56" i="76" s="1"/>
  <c r="F62" i="76"/>
  <c r="B2" i="76" s="1"/>
  <c r="B53" i="76"/>
  <c r="F53" i="76" s="1"/>
  <c r="B54" i="76"/>
  <c r="F54" i="76" s="1"/>
  <c r="B57" i="76"/>
  <c r="F57" i="76" s="1"/>
  <c r="B55" i="76"/>
  <c r="F55" i="76" s="1"/>
  <c r="B59" i="76"/>
  <c r="F59" i="76" s="1"/>
  <c r="B61" i="76"/>
  <c r="F61" i="76" s="1"/>
  <c r="B54" i="40"/>
  <c r="F54" i="40" s="1"/>
  <c r="B55" i="40"/>
  <c r="F55" i="40" s="1"/>
  <c r="B59" i="40"/>
  <c r="F59" i="40" s="1"/>
  <c r="B57" i="40"/>
  <c r="F57" i="40" s="1"/>
  <c r="B56" i="40"/>
  <c r="F56" i="40" s="1"/>
  <c r="F62" i="40"/>
  <c r="B2" i="40" s="1"/>
  <c r="B58" i="40"/>
  <c r="F58" i="40" s="1"/>
  <c r="B60" i="40"/>
  <c r="F60" i="40" s="1"/>
  <c r="B53" i="40"/>
  <c r="F53" i="40" s="1"/>
  <c r="B61" i="40"/>
  <c r="F61" i="40" s="1"/>
  <c r="Q51" i="44"/>
  <c r="C15" i="44"/>
  <c r="Q72" i="44" s="1"/>
  <c r="J16" i="44"/>
  <c r="J15" i="44" s="1"/>
  <c r="J25" i="44" s="1"/>
  <c r="J16" i="15"/>
  <c r="J25" i="15" s="1"/>
  <c r="C70" i="15"/>
  <c r="C40" i="15"/>
  <c r="C46" i="15" s="1"/>
  <c r="Q70" i="15"/>
  <c r="Q69" i="15" s="1"/>
  <c r="J39" i="15"/>
  <c r="J40" i="15" s="1"/>
  <c r="L51" i="15"/>
  <c r="C19" i="9"/>
  <c r="C19" i="11" l="1"/>
  <c r="C20" i="11" s="1"/>
  <c r="C21" i="11" s="1"/>
  <c r="C22" i="11" s="1"/>
  <c r="C23" i="11" s="1"/>
  <c r="B2" i="11" s="1"/>
  <c r="B4" i="11" s="1"/>
  <c r="B5" i="76"/>
  <c r="B3" i="76"/>
  <c r="B4" i="76"/>
  <c r="L43" i="9"/>
  <c r="B5" i="40"/>
  <c r="B3" i="40"/>
  <c r="B4" i="40"/>
  <c r="C39" i="44"/>
  <c r="C32" i="44" s="1"/>
  <c r="C42" i="44" s="1"/>
  <c r="Q71" i="44" s="1"/>
  <c r="Q70" i="44" s="1"/>
  <c r="C43" i="44"/>
  <c r="J24" i="44"/>
  <c r="J18" i="44" s="1"/>
  <c r="J27" i="44" s="1"/>
  <c r="Q68" i="15"/>
  <c r="C43" i="15"/>
  <c r="Q57" i="15"/>
  <c r="Q63" i="15" s="1"/>
  <c r="Q48" i="15"/>
  <c r="Q54" i="15" s="1"/>
  <c r="Q66" i="15"/>
  <c r="Q76" i="15" s="1"/>
  <c r="B2" i="15"/>
  <c r="B3" i="15" s="1"/>
  <c r="J42" i="15"/>
  <c r="J43" i="15" s="1"/>
  <c r="D20" i="9"/>
  <c r="C21" i="9"/>
  <c r="D21" i="9"/>
  <c r="C20" i="9"/>
  <c r="D19" i="9"/>
  <c r="B3" i="11" l="1"/>
  <c r="B5" i="11"/>
  <c r="D22" i="9"/>
  <c r="L44" i="9"/>
  <c r="G19" i="9"/>
  <c r="G22" i="9" s="1"/>
  <c r="G21" i="9"/>
  <c r="G20" i="9"/>
  <c r="C44" i="44"/>
  <c r="C45" i="44" s="1"/>
  <c r="B2" i="44" s="1"/>
  <c r="B3" i="44" s="1"/>
  <c r="C32" i="9" l="1"/>
  <c r="C34" i="9" s="1"/>
  <c r="N43" i="9"/>
  <c r="B4" i="44"/>
  <c r="B5" i="44"/>
  <c r="C35" i="9"/>
  <c r="F42" i="9" s="1"/>
  <c r="C42" i="9"/>
  <c r="C33" i="9"/>
  <c r="O43" i="9"/>
  <c r="O38" i="9"/>
  <c r="L52" i="44"/>
  <c r="M38" i="9" l="1"/>
  <c r="K27" i="9" s="1"/>
  <c r="E42" i="9"/>
  <c r="P5" i="54" s="1"/>
  <c r="B46" i="63" s="1"/>
  <c r="N38" i="9"/>
  <c r="K28" i="9" s="1"/>
  <c r="D42" i="9"/>
  <c r="Q5" i="54" s="1"/>
  <c r="B47" i="63" s="1"/>
  <c r="K26" i="9"/>
  <c r="K25" i="9"/>
  <c r="N68" i="9"/>
  <c r="R5" i="54"/>
  <c r="B48" i="63" s="1"/>
  <c r="D63" i="9"/>
  <c r="Q69" i="44"/>
  <c r="L58" i="44"/>
  <c r="L61" i="44" s="1"/>
  <c r="C82" i="9" l="1"/>
  <c r="C81" i="9" s="1"/>
  <c r="C85" i="9" s="1"/>
  <c r="C86" i="9" s="1"/>
  <c r="D72" i="9" s="1"/>
  <c r="D70" i="9"/>
  <c r="C96" i="9"/>
  <c r="C91" i="9" s="1"/>
  <c r="D71" i="9"/>
  <c r="C103" i="9"/>
  <c r="C90" i="9"/>
  <c r="D73" i="9"/>
  <c r="N73" i="9" s="1"/>
  <c r="C111" i="9"/>
  <c r="C104" i="9" s="1"/>
  <c r="Q68" i="44"/>
  <c r="Q77" i="44" s="1"/>
  <c r="Q59" i="44"/>
  <c r="Q64" i="44" s="1"/>
  <c r="C97" i="9" l="1"/>
  <c r="C113" i="9"/>
  <c r="C114" i="9" l="1"/>
  <c r="E114" i="9" s="1"/>
  <c r="E115" i="9" s="1"/>
  <c r="C115" i="9"/>
  <c r="D76" i="9" s="1"/>
  <c r="D74" i="9" s="1"/>
  <c r="N74" i="9" s="1"/>
  <c r="O77" i="9" s="1"/>
  <c r="C98" i="9"/>
  <c r="E98" i="9" s="1"/>
  <c r="E99" i="9" s="1"/>
  <c r="C99" i="9" l="1"/>
  <c r="Q77" i="9"/>
  <c r="O78" i="9"/>
  <c r="O79"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<sst xmlns="http://schemas.openxmlformats.org/spreadsheetml/2006/main" count="7805" uniqueCount="3422">
  <si>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</si>
  <si>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</si>
  <si>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</si>
  <si>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</si>
  <si>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</si>
  <si>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</si>
  <si>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</si>
  <si>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</si>
  <si>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</si>
  <si>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</si>
  <si>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</si>
  <si>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</si>
  <si>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</si>
  <si>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</si>
  <si>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</si>
  <si>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</si>
  <si>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</si>
  <si>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</si>
  <si>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</si>
  <si>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</si>
  <si>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</si>
  <si>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</si>
  <si>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</si>
  <si>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</si>
  <si>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</si>
  <si>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</si>
  <si>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</si>
  <si>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</si>
  <si>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</si>
  <si>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</si>
  <si>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</si>
  <si>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</si>
  <si>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</si>
  <si>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</si>
  <si>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</si>
  <si>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</si>
  <si>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</si>
  <si>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</si>
  <si>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</si>
  <si>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</si>
  <si>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</si>
  <si>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</si>
  <si>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</si>
  <si>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</si>
  <si>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</si>
  <si>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</si>
  <si>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</si>
  <si>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</si>
  <si>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</si>
  <si>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</si>
  <si>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</si>
  <si>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</si>
  <si>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</si>
  <si>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</si>
  <si>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</si>
  <si>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</si>
  <si>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</si>
  <si>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</si>
  <si>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</si>
  <si>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</si>
  <si>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</si>
  <si>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</si>
  <si>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</si>
  <si>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</si>
  <si>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</si>
  <si>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</si>
  <si>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</si>
  <si>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</si>
  <si>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</si>
  <si>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</si>
  <si>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</si>
  <si>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</si>
  <si>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</si>
  <si>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</si>
  <si>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</si>
  <si>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</si>
  <si>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</si>
  <si>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</si>
  <si>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</si>
  <si>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</si>
  <si>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</si>
  <si>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</si>
  <si>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</si>
  <si>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</si>
  <si>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</si>
  <si>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</si>
  <si>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</si>
  <si>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</si>
  <si>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</si>
  <si>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</si>
  <si>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</si>
  <si>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</si>
  <si>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</si>
  <si>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</si>
  <si>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</si>
  <si>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</si>
  <si>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</si>
  <si>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</si>
  <si>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</si>
  <si>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</si>
  <si>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</si>
  <si>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</si>
  <si>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</si>
  <si>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</si>
  <si>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</si>
  <si>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</si>
  <si>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</si>
  <si>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</si>
  <si>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</si>
  <si>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</si>
  <si>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</si>
  <si>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</si>
  <si>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</si>
  <si>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</si>
  <si>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</si>
  <si>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</si>
  <si>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</si>
  <si>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</si>
  <si>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</si>
  <si>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</si>
  <si>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</si>
  <si>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</si>
  <si>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</si>
  <si>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</si>
  <si>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</si>
  <si>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</si>
  <si>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</si>
  <si>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</si>
  <si>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</si>
  <si>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</si>
  <si>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</si>
  <si>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</si>
  <si>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</si>
  <si>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</si>
  <si>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</si>
  <si>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</si>
  <si>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</si>
  <si>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</si>
  <si>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</si>
  <si>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</si>
  <si>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</si>
  <si>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</si>
  <si>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</si>
  <si>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</si>
  <si>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</si>
  <si>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</si>
  <si>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</si>
  <si>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</si>
  <si>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</si>
  <si>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</si>
  <si>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</si>
  <si>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</si>
  <si>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</si>
  <si>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</si>
  <si>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</si>
  <si>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</si>
  <si>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</si>
  <si>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</si>
  <si>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</si>
  <si>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</si>
  <si>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</si>
  <si>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</si>
  <si>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</si>
  <si>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</si>
  <si>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</si>
  <si>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</si>
  <si>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</si>
  <si>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</si>
  <si>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</si>
  <si>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</si>
  <si>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</si>
  <si>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</si>
  <si>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</si>
  <si>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</si>
  <si>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</si>
  <si>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</si>
  <si>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</si>
  <si>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</si>
  <si>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</si>
  <si>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</si>
  <si>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</si>
  <si>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</si>
  <si>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</si>
  <si>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</si>
  <si>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</si>
  <si>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</si>
  <si>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</si>
  <si>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</si>
  <si>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</si>
  <si>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</si>
  <si>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</si>
  <si>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</si>
  <si>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</si>
  <si>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</si>
  <si>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</si>
  <si>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</si>
  <si>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</si>
  <si>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</si>
  <si>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</si>
  <si>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</si>
  <si>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</si>
  <si>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</si>
  <si>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</si>
  <si>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</si>
  <si>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</si>
  <si>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</si>
  <si>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</si>
  <si>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</si>
  <si>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</si>
  <si>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</si>
  <si>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</si>
  <si>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</si>
  <si>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</si>
  <si>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</si>
  <si>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</si>
  <si>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</si>
  <si>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</si>
  <si>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</si>
  <si>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</si>
  <si>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</si>
  <si>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</si>
  <si>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</si>
  <si>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</si>
  <si>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</si>
  <si>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</si>
  <si>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</si>
  <si>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</si>
  <si>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</si>
  <si>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</si>
  <si>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</si>
  <si>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</si>
  <si>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</si>
  <si>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</si>
  <si>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</si>
  <si>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</si>
  <si>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</si>
  <si>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</si>
  <si>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</si>
  <si>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</si>
  <si>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</si>
  <si>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</si>
  <si>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</si>
  <si>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</si>
  <si>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</si>
  <si>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</si>
  <si>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</si>
  <si>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</si>
  <si>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</si>
  <si>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</si>
  <si>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</si>
  <si>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</si>
  <si>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</si>
  <si>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</si>
  <si>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</si>
  <si>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</si>
  <si>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</si>
  <si>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</si>
  <si>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</si>
  <si>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</si>
  <si>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</si>
  <si>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</si>
  <si>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</si>
  <si>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</si>
  <si>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</si>
  <si>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</si>
  <si>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</si>
  <si>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</si>
  <si>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</si>
  <si>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</si>
  <si>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</si>
  <si>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</si>
  <si>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</si>
  <si>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</si>
  <si>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</si>
  <si>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</si>
  <si>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</si>
  <si>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</si>
  <si>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</si>
  <si>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</si>
  <si>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</si>
  <si>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</si>
  <si>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</si>
  <si>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</si>
  <si>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</si>
  <si>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</si>
  <si>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</si>
  <si>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</si>
  <si>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</si>
  <si>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</si>
  <si>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</si>
  <si>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</si>
  <si>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</si>
  <si>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</si>
  <si>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</si>
  <si>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</si>
  <si>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</si>
  <si>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</si>
  <si>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</si>
  <si>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</si>
  <si>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</si>
  <si>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</si>
  <si>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</si>
  <si>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</si>
  <si>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</si>
  <si>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</si>
  <si>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</si>
  <si>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</si>
  <si>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</si>
  <si>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</si>
  <si>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</si>
  <si>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</si>
  <si>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</si>
  <si>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</si>
  <si>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</si>
  <si>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</si>
  <si>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</si>
  <si>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</si>
  <si>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</si>
  <si>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</si>
  <si>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</si>
  <si>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</si>
  <si>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</si>
  <si>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</si>
  <si>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</si>
  <si>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</si>
  <si>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</si>
  <si>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</si>
  <si>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</si>
  <si>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</si>
  <si>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</si>
  <si>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</si>
  <si>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</si>
  <si>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</si>
  <si>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</si>
  <si>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</si>
  <si>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</si>
  <si>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</si>
  <si>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</si>
  <si>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</si>
  <si>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</si>
  <si>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</si>
  <si>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</si>
  <si>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</si>
  <si>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</si>
  <si>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</si>
  <si>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</si>
  <si>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</si>
  <si>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</si>
  <si>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</si>
  <si>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</si>
  <si>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</si>
  <si>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</si>
  <si>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</si>
  <si>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</si>
  <si>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</si>
  <si>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</si>
  <si>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</si>
  <si>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</si>
  <si>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</si>
  <si>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</si>
  <si>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</si>
  <si>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</si>
  <si>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</si>
  <si>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</si>
  <si>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</si>
  <si>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</si>
  <si>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</si>
  <si>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</si>
  <si>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</si>
  <si>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</si>
  <si>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</si>
  <si>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</si>
  <si>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</si>
  <si>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</si>
  <si>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</si>
  <si>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</si>
  <si>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</si>
  <si>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</si>
  <si>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</si>
  <si>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</si>
  <si>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</si>
  <si>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</si>
  <si>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</si>
  <si>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</si>
  <si>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</si>
  <si>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</si>
  <si>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</si>
  <si>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</si>
  <si>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</si>
  <si>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</si>
  <si>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</si>
  <si>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</si>
  <si>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</si>
  <si>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</si>
  <si>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</si>
  <si>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</si>
  <si>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</si>
  <si>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</si>
  <si>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</si>
  <si>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</si>
  <si>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</si>
  <si>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</si>
  <si>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</si>
  <si>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</si>
  <si>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</si>
  <si>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</si>
  <si>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</si>
  <si>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</si>
  <si>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</si>
  <si>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</si>
  <si>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</si>
  <si>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</si>
  <si>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</si>
  <si>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</si>
  <si>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</si>
  <si>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</si>
  <si>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</si>
  <si>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</si>
  <si>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</si>
  <si>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</si>
  <si>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</si>
  <si>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</si>
  <si>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</si>
  <si>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</si>
  <si>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</si>
  <si>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</si>
  <si>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</si>
  <si>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</si>
  <si>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</si>
  <si>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</si>
  <si>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</si>
  <si>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</si>
  <si>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</si>
  <si>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</si>
  <si>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</si>
  <si>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</si>
  <si>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</si>
  <si>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</si>
  <si>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</si>
  <si>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</si>
  <si>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</si>
  <si>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</si>
  <si>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</si>
  <si>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</si>
  <si>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</si>
  <si>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</si>
  <si>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</si>
  <si>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</si>
  <si>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</si>
  <si>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</si>
  <si>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</si>
  <si>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</si>
  <si>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</si>
  <si>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</si>
  <si>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</si>
  <si>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</si>
  <si>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</si>
  <si>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</si>
  <si>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</si>
  <si>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</si>
  <si>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</si>
  <si>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</si>
  <si>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</si>
  <si>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</si>
  <si>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</si>
  <si>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</si>
  <si>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</si>
  <si>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</si>
  <si>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</si>
  <si>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</si>
  <si>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</si>
  <si>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</si>
  <si>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</si>
  <si>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</si>
  <si>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</si>
  <si>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</si>
  <si>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</si>
  <si>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</si>
  <si>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</si>
  <si>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</si>
  <si>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</si>
  <si>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</si>
  <si>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</si>
  <si>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</si>
  <si>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</si>
  <si>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</si>
  <si>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</si>
  <si>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</si>
  <si>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</si>
  <si>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</si>
  <si>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</si>
  <si>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</si>
  <si>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</si>
  <si>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</si>
  <si>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</si>
  <si>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</si>
  <si>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</si>
  <si>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</si>
  <si>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</si>
  <si>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</si>
  <si>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</si>
  <si>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</si>
  <si>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</si>
  <si>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</si>
  <si>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</si>
  <si>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</si>
  <si>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</si>
  <si>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</si>
  <si>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</si>
  <si>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</si>
  <si>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</si>
  <si>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</si>
  <si>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</si>
  <si>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</si>
  <si>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</si>
  <si>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</si>
  <si>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</si>
  <si>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</si>
  <si>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</si>
  <si>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</si>
  <si>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</si>
  <si>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</si>
  <si>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</si>
  <si>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</si>
  <si>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</si>
  <si>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</si>
  <si>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</si>
  <si>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</si>
  <si>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</si>
  <si>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</si>
  <si>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</si>
  <si>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</si>
  <si>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</si>
  <si>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</si>
  <si>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</si>
  <si>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</si>
  <si>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</si>
  <si>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</si>
  <si>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</si>
  <si>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</si>
  <si>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</si>
  <si>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</si>
  <si>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</si>
  <si>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</si>
  <si>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</si>
  <si>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</si>
  <si>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</si>
  <si>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</si>
  <si>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</si>
  <si>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</si>
  <si>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</si>
  <si>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</si>
  <si>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</si>
  <si>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</si>
  <si>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</si>
  <si>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</si>
  <si>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</si>
  <si>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</si>
  <si>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</si>
  <si>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</si>
  <si>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</si>
  <si>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</si>
  <si>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</si>
  <si>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</si>
  <si>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</si>
  <si>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</si>
  <si>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</si>
  <si>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</si>
  <si>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</si>
  <si>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</si>
  <si>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</si>
  <si>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</si>
  <si>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</si>
  <si>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</si>
  <si>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</si>
  <si>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</si>
  <si>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</si>
  <si>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</si>
  <si>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</si>
  <si>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</si>
  <si>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</si>
  <si>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</si>
  <si>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</si>
  <si>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</si>
  <si>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</si>
  <si>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</si>
  <si>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</si>
  <si>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</si>
  <si>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</si>
  <si>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</si>
  <si>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</si>
  <si>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</si>
  <si>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</si>
  <si>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</si>
  <si>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</si>
  <si>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</si>
  <si>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</si>
  <si>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</si>
  <si>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</si>
  <si>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</si>
  <si>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</si>
  <si>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</si>
  <si>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</si>
  <si>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</si>
  <si>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</si>
  <si>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</si>
  <si>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</si>
  <si>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</si>
  <si>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</si>
  <si>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</si>
  <si>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</si>
  <si>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</si>
  <si>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</si>
  <si>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</si>
  <si>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</si>
  <si>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</si>
  <si>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</si>
  <si>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</si>
  <si>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</si>
  <si>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</si>
  <si>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</si>
  <si>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</si>
  <si>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</si>
  <si>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</si>
  <si>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</si>
  <si>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</si>
  <si>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</si>
  <si>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</si>
  <si>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</si>
  <si>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</si>
  <si>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</si>
  <si>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</si>
  <si>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</si>
  <si>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</si>
  <si>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</si>
  <si>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</si>
  <si>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</si>
  <si>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</si>
  <si>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</si>
  <si>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</si>
  <si>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</si>
  <si>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</si>
  <si>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</si>
  <si>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</si>
  <si>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</si>
  <si>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</si>
  <si>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</si>
  <si>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</si>
  <si>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</si>
  <si>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</si>
  <si>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</si>
  <si>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</si>
  <si>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</si>
  <si>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</si>
  <si>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</si>
  <si>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</si>
  <si>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</si>
  <si>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</si>
  <si>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</si>
  <si>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</si>
  <si>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</si>
  <si>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</si>
  <si>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</si>
  <si>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</si>
  <si>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</si>
  <si>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</si>
  <si>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</si>
  <si>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</si>
  <si>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</si>
  <si>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</si>
  <si>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</si>
  <si>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</si>
  <si>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</si>
  <si>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</si>
  <si>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</si>
  <si>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</si>
  <si>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</si>
  <si>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</si>
  <si>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</si>
  <si>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</si>
  <si>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</si>
  <si>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</si>
  <si>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</si>
  <si>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</si>
  <si>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</si>
  <si>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</si>
  <si>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</si>
  <si>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</si>
  <si>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</si>
  <si>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</si>
  <si>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</si>
  <si>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</si>
  <si>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</si>
  <si>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</si>
  <si>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</si>
  <si>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</si>
  <si>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</si>
  <si>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</si>
  <si>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</si>
  <si>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</si>
  <si>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</si>
  <si>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</si>
  <si>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</si>
  <si>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</si>
  <si>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</si>
  <si>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</si>
  <si>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</si>
  <si>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</si>
  <si>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</si>
  <si>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</si>
  <si>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</si>
  <si>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</si>
  <si>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</si>
  <si>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</si>
  <si>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</si>
  <si>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</si>
  <si>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</si>
  <si>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</si>
  <si>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</si>
  <si>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</si>
  <si>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</si>
  <si>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</si>
  <si>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</si>
  <si>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</si>
  <si>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</si>
  <si>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</si>
  <si>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</si>
  <si>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</si>
  <si>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</si>
  <si>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</si>
  <si>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</si>
  <si>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</si>
  <si>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</si>
  <si>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</si>
  <si>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</si>
  <si>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</si>
  <si>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</si>
  <si>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</si>
  <si>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</si>
  <si>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</si>
  <si>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</si>
  <si>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</si>
  <si>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</si>
  <si>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</si>
  <si>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</si>
  <si>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</si>
  <si>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</si>
  <si>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</si>
  <si>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</si>
  <si>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</si>
  <si>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</si>
  <si>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</si>
  <si>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</si>
  <si>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</si>
  <si>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</si>
  <si>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</si>
  <si>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</si>
  <si>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</si>
  <si>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</si>
  <si>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</si>
  <si>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</si>
  <si>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</si>
  <si>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</si>
  <si>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</si>
  <si>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</si>
  <si>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</si>
  <si>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</si>
  <si>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</si>
  <si>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</si>
  <si>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</si>
  <si>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</si>
  <si>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</si>
  <si>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</si>
  <si>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</si>
  <si>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</si>
  <si>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</si>
  <si>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</si>
  <si>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</si>
  <si>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</si>
  <si>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</si>
  <si>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</si>
  <si>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</si>
  <si>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</si>
  <si>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</si>
  <si>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</si>
  <si>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</si>
  <si>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</si>
  <si>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</si>
  <si>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</si>
  <si>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</si>
  <si>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</si>
  <si>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</si>
  <si>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</si>
  <si>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</si>
  <si>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</si>
  <si>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</si>
  <si>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</si>
  <si>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</si>
  <si>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</si>
  <si>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</si>
  <si>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</si>
  <si>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</si>
  <si>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</si>
  <si>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</si>
  <si>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</si>
  <si>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</si>
  <si>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</si>
  <si>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</si>
  <si>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</si>
  <si>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</si>
  <si>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</si>
  <si>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</si>
  <si>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</si>
  <si>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</si>
  <si>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</si>
  <si>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</si>
  <si>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</si>
  <si>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</si>
  <si>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</si>
  <si>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</si>
  <si>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</si>
  <si>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</si>
  <si>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</si>
  <si>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</si>
  <si>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</si>
  <si>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</si>
  <si>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</si>
  <si>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</si>
  <si>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</si>
  <si>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</si>
  <si>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</si>
  <si>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</si>
  <si>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</si>
  <si>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</si>
  <si>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</si>
  <si>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</si>
  <si>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</si>
  <si>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</si>
  <si>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</si>
  <si>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</si>
  <si>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</si>
  <si>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</si>
  <si>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</si>
  <si>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</si>
  <si>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</si>
  <si>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</si>
  <si>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</si>
  <si>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</si>
  <si>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</si>
  <si>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</si>
  <si>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</si>
  <si>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</si>
  <si>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</si>
  <si>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</si>
  <si>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</si>
  <si>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</si>
  <si>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</si>
  <si>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</si>
  <si>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</si>
  <si>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</si>
  <si>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</si>
  <si>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</si>
  <si>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</si>
  <si>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</si>
  <si>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</si>
  <si>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</si>
  <si>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</si>
  <si>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</si>
  <si>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</si>
  <si>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</si>
  <si>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</si>
  <si>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</si>
  <si>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</si>
  <si>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</si>
  <si>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</si>
  <si>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</si>
  <si>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</si>
  <si>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</si>
  <si>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</si>
  <si>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</si>
  <si>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</si>
  <si>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</si>
  <si>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</si>
  <si>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</si>
  <si>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</si>
  <si>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</si>
  <si>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</si>
  <si>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</si>
  <si>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</si>
  <si>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</si>
  <si>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</si>
  <si>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</si>
  <si>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</si>
  <si>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</si>
  <si>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</si>
  <si>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</si>
  <si>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</si>
  <si>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</si>
  <si>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</si>
  <si>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</si>
  <si>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</si>
  <si>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</si>
  <si>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</si>
  <si>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</si>
  <si>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</si>
  <si>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</si>
  <si>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</si>
  <si>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</si>
  <si>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</si>
  <si>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</si>
  <si>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</si>
  <si>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</si>
  <si>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</si>
  <si>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</si>
  <si>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</si>
  <si>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</si>
  <si>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</si>
  <si>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</si>
  <si>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</si>
  <si>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</si>
  <si>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</si>
  <si>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</si>
  <si>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</si>
  <si>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</si>
  <si>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</si>
  <si>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</si>
  <si>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</si>
  <si>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</si>
  <si>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</si>
  <si>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</si>
  <si>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</si>
  <si>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</si>
  <si>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</si>
  <si>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</si>
  <si>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</si>
  <si>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</si>
  <si>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</si>
  <si>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</si>
  <si>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</si>
  <si>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</si>
  <si>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</si>
  <si>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</si>
  <si>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</si>
  <si>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</si>
  <si>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</si>
  <si>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</si>
  <si>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</si>
  <si>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</si>
  <si>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</si>
  <si>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</si>
  <si>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</si>
  <si>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</si>
  <si>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</si>
  <si>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</si>
  <si>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</si>
  <si>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</si>
  <si>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</si>
  <si>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</si>
  <si>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</si>
  <si>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</si>
  <si>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</si>
  <si>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</si>
  <si>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</si>
  <si>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</si>
  <si>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</si>
  <si>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</si>
  <si>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</si>
  <si>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</si>
  <si>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</si>
  <si>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</si>
  <si>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</si>
  <si>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</si>
  <si>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</si>
  <si>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</si>
  <si>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</si>
  <si>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</si>
  <si>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</si>
  <si>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</si>
  <si>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</si>
  <si>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</si>
  <si>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</si>
  <si>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</si>
  <si>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</si>
  <si>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</si>
  <si>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</si>
  <si>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</si>
  <si>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</si>
  <si>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</si>
  <si>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</si>
  <si>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</si>
  <si>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</si>
  <si>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</si>
  <si>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</si>
  <si>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</si>
  <si>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</si>
  <si>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</si>
  <si>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</si>
  <si>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</si>
  <si>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</si>
  <si>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</si>
  <si>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</si>
  <si>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</si>
  <si>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</si>
  <si>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</si>
  <si>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</si>
  <si>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</si>
  <si>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</si>
  <si>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</si>
  <si>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</si>
  <si>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</si>
  <si>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</si>
  <si>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</si>
  <si>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</si>
  <si>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</si>
  <si>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</si>
  <si>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</si>
  <si>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</si>
  <si>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</si>
  <si>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</si>
  <si>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</si>
  <si>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</si>
  <si>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</si>
  <si>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</si>
  <si>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</si>
  <si>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</si>
  <si>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</si>
  <si>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</si>
  <si>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</si>
  <si>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</si>
  <si>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</si>
  <si>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</si>
  <si>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</si>
  <si>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</si>
  <si>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</si>
  <si>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</si>
  <si>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</si>
  <si>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</si>
  <si>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</si>
  <si>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</si>
  <si>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</si>
  <si>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</si>
  <si>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</si>
  <si>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</si>
  <si>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</si>
  <si>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</si>
  <si>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</si>
  <si>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</si>
  <si>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</si>
  <si>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</si>
  <si>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</si>
  <si>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</si>
  <si>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</si>
  <si>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</si>
  <si>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</si>
  <si>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</si>
  <si>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</si>
  <si>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</si>
  <si>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</si>
  <si>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</si>
  <si>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</si>
  <si>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</si>
  <si>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</si>
  <si>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</si>
  <si>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</si>
  <si>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</si>
  <si>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</si>
  <si>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</si>
  <si>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</si>
  <si>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</si>
  <si>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</si>
  <si>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</si>
  <si>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</si>
  <si>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</si>
  <si>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</si>
  <si>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</si>
  <si>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</si>
  <si>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</si>
  <si>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</si>
  <si>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</si>
  <si>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</si>
  <si>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</si>
  <si>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</si>
  <si>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</si>
  <si>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</si>
  <si>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</si>
  <si>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</si>
  <si>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</si>
  <si>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</si>
  <si>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</si>
  <si>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</si>
  <si>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</si>
  <si>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</si>
  <si>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</si>
  <si>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</si>
  <si>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</si>
  <si>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</si>
  <si>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</si>
  <si>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</si>
  <si>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</si>
  <si>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</si>
  <si>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</si>
  <si>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</si>
  <si>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</si>
  <si>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</si>
  <si>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</si>
  <si>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</si>
  <si>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</si>
  <si>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</si>
  <si>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</si>
  <si>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</si>
  <si>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</si>
  <si>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</si>
  <si>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</si>
  <si>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</si>
  <si>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</si>
  <si>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</si>
  <si>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</si>
  <si>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</si>
  <si>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</si>
  <si>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</si>
  <si>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</si>
  <si>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</si>
  <si>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</si>
  <si>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</si>
  <si>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</si>
  <si>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</si>
  <si>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</si>
  <si>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</si>
  <si>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</si>
  <si>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</si>
  <si>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</si>
  <si>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</si>
  <si>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</si>
  <si>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</si>
  <si>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</si>
  <si>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</si>
  <si>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</si>
  <si>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</si>
  <si>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</si>
  <si>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</si>
  <si>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</si>
  <si>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</si>
  <si>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</si>
  <si>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</si>
  <si>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</si>
  <si>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</si>
  <si>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</si>
  <si>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</si>
  <si>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</si>
  <si>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</si>
  <si>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</si>
  <si>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</si>
  <si>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</si>
  <si>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</si>
  <si>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</si>
  <si>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</si>
  <si>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</si>
  <si>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</si>
  <si>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</si>
  <si>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</si>
  <si>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</si>
  <si>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</si>
  <si>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</si>
  <si>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</si>
  <si>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</si>
  <si>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</si>
  <si>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</si>
  <si>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</si>
  <si>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</si>
  <si>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</si>
  <si>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</si>
  <si>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</si>
  <si>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</si>
  <si>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</si>
  <si>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</si>
  <si>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</si>
  <si>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</si>
  <si>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</si>
  <si>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</si>
  <si>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</si>
  <si>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</si>
  <si>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</si>
  <si>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</si>
  <si>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</si>
  <si>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</si>
  <si>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</si>
  <si>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</si>
  <si>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</si>
  <si>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</si>
  <si>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</si>
  <si>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</si>
  <si>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</si>
  <si>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</si>
  <si>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</si>
  <si>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</si>
  <si>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</si>
  <si>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</si>
  <si>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</si>
  <si>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</si>
  <si>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</si>
  <si>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</si>
  <si>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</si>
  <si>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</si>
  <si>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</si>
  <si>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</si>
  <si>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</si>
  <si>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</si>
  <si>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</si>
  <si>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</si>
  <si>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</si>
  <si>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</si>
  <si>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</si>
  <si>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</si>
  <si>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</si>
  <si>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</si>
  <si>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</si>
  <si>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</si>
  <si>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</si>
  <si>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</si>
  <si>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</si>
  <si>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</si>
  <si>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</si>
  <si>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</si>
  <si>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</si>
  <si>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</si>
  <si>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</si>
  <si>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</si>
  <si>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</si>
  <si>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</si>
  <si>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</si>
  <si>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</si>
  <si>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</si>
  <si>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</si>
  <si>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</si>
  <si>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</si>
  <si>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</si>
  <si>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</si>
  <si>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</si>
  <si>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</si>
  <si>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</si>
  <si>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</si>
  <si>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</si>
  <si>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</si>
  <si>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</si>
  <si>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</si>
  <si>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</si>
  <si>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</si>
  <si>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</si>
  <si>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</si>
  <si>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</si>
  <si>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</si>
  <si>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</si>
  <si>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</si>
  <si>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</si>
  <si>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</si>
  <si>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</si>
  <si>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</si>
  <si>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</si>
  <si>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</si>
  <si>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</si>
  <si>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</si>
  <si>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</si>
  <si>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</si>
  <si>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</si>
  <si>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</si>
  <si>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</si>
  <si>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</si>
  <si>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</si>
  <si>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</si>
  <si>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</si>
  <si>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</si>
  <si>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</si>
  <si>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</si>
  <si>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</si>
  <si>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</si>
  <si>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</si>
  <si>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</si>
  <si>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</si>
  <si>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</si>
  <si>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</si>
  <si>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</si>
  <si>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</si>
  <si>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</si>
  <si>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</si>
  <si>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</si>
  <si>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</si>
  <si>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</si>
  <si>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</si>
  <si>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</si>
  <si>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</si>
  <si>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</si>
  <si>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</si>
  <si>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</si>
  <si>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</si>
  <si>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</si>
  <si>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</si>
  <si>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</si>
  <si>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</si>
  <si>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</si>
  <si>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</si>
  <si>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</si>
  <si>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</si>
  <si>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</si>
  <si>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</si>
  <si>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</si>
  <si>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</si>
  <si>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</si>
  <si>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</si>
  <si>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</si>
  <si>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</si>
  <si>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</si>
  <si>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</si>
  <si>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</si>
  <si>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</si>
  <si>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</si>
  <si>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</si>
  <si>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</si>
  <si>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</si>
  <si>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</si>
  <si>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</si>
  <si>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</si>
  <si>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</si>
  <si>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</si>
  <si>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</si>
  <si>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</si>
  <si>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</si>
  <si>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</si>
  <si>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</si>
  <si>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</si>
  <si>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</si>
  <si>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</si>
  <si>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</si>
  <si>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</si>
  <si>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</si>
  <si>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</si>
  <si>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</si>
  <si>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</si>
  <si>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</si>
  <si>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</si>
  <si>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</si>
  <si>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</si>
  <si>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</si>
  <si>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</si>
  <si>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</si>
  <si>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</si>
  <si>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</si>
  <si>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</si>
  <si>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</si>
  <si>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</si>
  <si>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</si>
  <si>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</si>
  <si>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</si>
  <si>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</si>
  <si>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</si>
  <si>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</si>
  <si>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</si>
  <si>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</si>
  <si>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</si>
  <si>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</si>
  <si>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</si>
  <si>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</si>
  <si>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</si>
  <si>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</si>
  <si>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</si>
  <si>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</si>
  <si>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</si>
  <si>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</si>
  <si>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</si>
  <si>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</si>
  <si>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</si>
  <si>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</si>
  <si>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</si>
  <si>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</si>
  <si>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</si>
  <si>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</si>
  <si>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</si>
  <si>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</si>
  <si>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</si>
  <si>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</si>
  <si>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</si>
  <si>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</si>
  <si>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</si>
  <si>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</si>
  <si>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</si>
  <si>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</si>
  <si>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</si>
  <si>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</si>
  <si>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</si>
  <si>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</si>
  <si>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</si>
  <si>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</si>
  <si>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</si>
  <si>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</si>
  <si>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</si>
  <si>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</si>
  <si>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</si>
  <si>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</si>
  <si>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</si>
  <si>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</si>
  <si>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</si>
  <si>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</si>
  <si>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</si>
  <si>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</si>
  <si>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</si>
  <si>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</si>
  <si>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</si>
  <si>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</si>
  <si>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</si>
  <si>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</si>
  <si>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</si>
  <si>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</si>
  <si>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</si>
  <si>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</si>
  <si>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</si>
  <si>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</si>
  <si>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</si>
  <si>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</si>
  <si>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</si>
  <si>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</si>
  <si>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</si>
  <si>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</si>
  <si>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</si>
  <si>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</si>
  <si>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</si>
  <si>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</si>
  <si>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</si>
  <si>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</si>
  <si>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</si>
  <si>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</si>
  <si>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</si>
  <si>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</si>
  <si>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</si>
  <si>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</si>
  <si>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</si>
  <si>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</si>
  <si>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</si>
  <si>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</si>
  <si>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</si>
  <si>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</si>
  <si>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</si>
  <si>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</si>
  <si>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</si>
  <si>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</si>
  <si>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</si>
  <si>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</si>
  <si>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</si>
  <si>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</si>
  <si>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</si>
  <si>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</si>
  <si>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</si>
  <si>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</si>
  <si>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</si>
  <si>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</si>
  <si>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</si>
  <si>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</si>
  <si>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</si>
  <si>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</si>
  <si>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</si>
  <si>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</si>
  <si>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</si>
  <si>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</si>
  <si>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</si>
  <si>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</si>
  <si>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</si>
  <si>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</si>
  <si>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</si>
  <si>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</si>
  <si>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</si>
  <si>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</si>
  <si>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</si>
  <si>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</si>
  <si>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</si>
  <si>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</si>
  <si>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</si>
  <si>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</si>
  <si>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</si>
  <si>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</si>
  <si>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</si>
  <si>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</si>
  <si>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</si>
  <si>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</si>
  <si>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</si>
  <si>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</si>
  <si>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</si>
  <si>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</si>
  <si>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</si>
  <si>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</si>
  <si>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</si>
  <si>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</si>
  <si>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</si>
  <si>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</si>
  <si>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</si>
  <si>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</si>
  <si>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</si>
  <si>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</si>
  <si>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</si>
  <si>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</si>
  <si>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</si>
  <si>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</si>
  <si>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</si>
  <si>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</si>
  <si>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</si>
  <si>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</si>
  <si>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</si>
  <si>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</si>
  <si>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</si>
  <si>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</si>
  <si>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</si>
  <si>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</si>
  <si>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</si>
  <si>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</si>
  <si>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</si>
  <si>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</si>
  <si>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</si>
  <si>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</si>
  <si>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</si>
  <si>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</si>
  <si>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</si>
  <si>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</si>
  <si>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</si>
  <si>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</si>
  <si>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</si>
  <si>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</si>
  <si>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</si>
  <si>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</si>
  <si>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</si>
  <si>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</si>
  <si>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</si>
  <si>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</si>
  <si>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</si>
  <si>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</si>
  <si>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</si>
  <si>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</si>
  <si>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</si>
  <si>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</si>
  <si>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</si>
  <si>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</si>
  <si>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</si>
  <si>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</si>
  <si>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</si>
  <si>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</si>
  <si>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</si>
  <si>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</si>
  <si>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</si>
  <si>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</si>
  <si>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</si>
  <si>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</si>
  <si>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</si>
  <si>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</si>
  <si>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</si>
  <si>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</si>
  <si>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</si>
  <si>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</si>
  <si>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</si>
  <si>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</si>
  <si>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</si>
  <si>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</si>
  <si>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</si>
  <si>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</si>
  <si>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</si>
  <si>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</si>
  <si>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</si>
  <si>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</si>
  <si>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</si>
  <si>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</si>
  <si>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</si>
  <si>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</si>
  <si>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</si>
  <si>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</si>
  <si>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</si>
  <si>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</si>
  <si>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</si>
  <si>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</si>
  <si>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</si>
  <si>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</si>
  <si>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</si>
  <si>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</si>
  <si>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</si>
  <si>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</si>
  <si>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</si>
  <si>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</si>
  <si>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</si>
  <si>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</si>
  <si>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</si>
  <si>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</si>
  <si>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</si>
  <si>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</si>
  <si>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</si>
  <si>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</si>
  <si>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</si>
  <si>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</si>
  <si>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</si>
  <si>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</si>
  <si>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</si>
  <si>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</si>
  <si>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</si>
  <si>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</si>
  <si>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</si>
  <si>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</si>
  <si>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</si>
  <si>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</si>
  <si>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</si>
  <si>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</si>
  <si>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</si>
  <si>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</si>
  <si>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</si>
  <si>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</si>
  <si>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</si>
  <si>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</si>
  <si>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</si>
  <si>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</si>
  <si>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</si>
  <si>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</si>
  <si>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</si>
  <si>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</si>
  <si>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</si>
  <si>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</si>
  <si>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</si>
  <si>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</si>
  <si>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</si>
  <si>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</si>
  <si>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</si>
  <si>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</si>
  <si>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</si>
  <si>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</si>
  <si>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</si>
  <si>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</si>
  <si>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</si>
  <si>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</si>
  <si>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</si>
  <si>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</si>
  <si>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</si>
  <si>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</si>
  <si>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</si>
  <si>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</si>
  <si>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</si>
  <si>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</si>
  <si>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</si>
  <si>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</si>
  <si>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</si>
  <si>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</si>
  <si>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</si>
  <si>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</si>
  <si>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</si>
  <si>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</si>
  <si>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</si>
  <si>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</si>
  <si>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</si>
  <si>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</si>
  <si>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</si>
  <si>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</si>
  <si>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</si>
  <si>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</si>
  <si>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</si>
  <si>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</si>
  <si>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</si>
  <si>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</si>
  <si>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</si>
  <si>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</si>
  <si>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</si>
  <si>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</si>
  <si>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</si>
  <si>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</si>
  <si>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</si>
  <si>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</si>
  <si>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</si>
  <si>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</si>
  <si>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</si>
  <si>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</si>
  <si>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</si>
  <si>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</si>
  <si>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</si>
  <si>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</si>
  <si>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</si>
  <si>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</si>
  <si>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</si>
  <si>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</si>
  <si>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</si>
  <si>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</si>
  <si>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</si>
  <si>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</si>
  <si>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</si>
  <si>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</si>
  <si>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</si>
  <si>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</si>
  <si>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</si>
  <si>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</si>
  <si>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</si>
  <si>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</si>
  <si>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</si>
  <si>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</si>
  <si>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</si>
  <si>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</si>
  <si>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</si>
  <si>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</si>
  <si>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</si>
  <si>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</si>
  <si>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</si>
  <si>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</si>
  <si>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</si>
  <si>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</si>
  <si>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</si>
  <si>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</si>
  <si>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</si>
  <si>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</si>
  <si>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</si>
  <si>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</si>
  <si>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</si>
  <si>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</si>
  <si>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</si>
  <si>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</si>
  <si>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</si>
  <si>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</si>
  <si>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</si>
  <si>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</si>
  <si>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</si>
  <si>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</si>
  <si>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</si>
  <si>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</si>
  <si>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</si>
  <si>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</si>
  <si>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</si>
  <si>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</si>
  <si>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</si>
  <si>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</si>
  <si>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</si>
  <si>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</si>
  <si>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</si>
  <si>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</si>
  <si>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</si>
  <si>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</si>
  <si>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</si>
  <si>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</si>
  <si>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</si>
  <si>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</si>
  <si>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</si>
  <si>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</si>
  <si>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</si>
  <si>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</si>
  <si>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</si>
  <si>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</si>
  <si>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</si>
  <si>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</si>
  <si>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</si>
  <si>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</si>
  <si>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</si>
  <si>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</si>
  <si>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</si>
  <si>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</si>
  <si>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</si>
  <si>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</si>
  <si>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</si>
  <si>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</si>
  <si>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</si>
  <si>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</si>
  <si>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</si>
  <si>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</si>
  <si>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</si>
  <si>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</si>
  <si>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</si>
  <si>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</si>
  <si>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</si>
  <si>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</si>
  <si>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</si>
  <si>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</si>
  <si>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</si>
  <si>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</si>
  <si>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</si>
  <si>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</si>
  <si>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</si>
  <si>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</si>
  <si>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</si>
  <si>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</si>
  <si>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</si>
  <si>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</si>
  <si>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</si>
  <si>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</si>
  <si>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</si>
  <si>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</si>
  <si>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</si>
  <si>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</si>
  <si>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</si>
  <si>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</si>
  <si>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</si>
  <si>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</si>
  <si>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</si>
  <si>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</si>
  <si>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</si>
  <si>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</si>
  <si>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</si>
  <si>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</si>
  <si>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</si>
  <si>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</si>
  <si>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</si>
  <si>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</si>
  <si>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</si>
  <si>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</si>
  <si>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</si>
  <si>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</si>
  <si>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</si>
  <si>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</si>
  <si>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</si>
  <si>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</si>
  <si>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</si>
  <si>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</si>
  <si>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</si>
  <si>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</si>
  <si>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</si>
  <si>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</si>
  <si>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</si>
  <si>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</si>
  <si>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</si>
  <si>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</si>
  <si>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</si>
  <si>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</si>
  <si>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</si>
  <si>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</si>
  <si>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</si>
  <si>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</si>
  <si>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</si>
  <si>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</si>
  <si>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</si>
  <si>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</si>
  <si>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</si>
  <si>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</si>
  <si>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</si>
  <si>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</si>
  <si>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</si>
  <si>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</si>
  <si>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</si>
  <si>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</si>
  <si>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</si>
  <si>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</si>
  <si>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</si>
  <si>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</si>
  <si>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</si>
  <si>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</si>
  <si>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</si>
  <si>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</si>
  <si>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</si>
  <si>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</si>
  <si>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</si>
  <si>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</si>
  <si>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</si>
  <si>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</si>
  <si>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</si>
  <si>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</si>
  <si>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</si>
  <si>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</si>
  <si>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</si>
  <si>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</si>
  <si>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</si>
  <si>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</si>
  <si>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</si>
  <si>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</si>
  <si>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</si>
  <si>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</si>
  <si>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</si>
  <si>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</si>
  <si>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</si>
  <si>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</si>
  <si>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</si>
  <si>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</si>
  <si>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</si>
  <si>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</si>
  <si>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</si>
  <si>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</si>
  <si>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</si>
  <si>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</si>
  <si>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</si>
  <si>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</si>
  <si>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</si>
  <si>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</si>
  <si>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</si>
  <si>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</si>
  <si>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</si>
  <si>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</si>
  <si>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</si>
  <si>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</si>
  <si>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</si>
  <si>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</si>
  <si>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</si>
  <si>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</si>
  <si>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</si>
  <si>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</si>
  <si>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</si>
  <si>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</si>
  <si>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</si>
  <si>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</si>
  <si>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</si>
  <si>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</si>
  <si>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</si>
  <si>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</si>
  <si>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</si>
  <si>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</si>
  <si>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</si>
  <si>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</si>
  <si>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</si>
  <si>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</si>
  <si>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</si>
  <si>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</si>
  <si>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</si>
  <si>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</si>
  <si>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</si>
  <si>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</si>
  <si>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</si>
  <si>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</si>
  <si>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</si>
  <si>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</si>
  <si>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</si>
  <si>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</si>
  <si>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</si>
  <si>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</si>
  <si>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</si>
  <si>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</si>
  <si>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</si>
  <si>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</si>
  <si>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</si>
  <si>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</si>
  <si>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</si>
  <si>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</si>
  <si>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</si>
  <si>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</si>
  <si>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</si>
  <si>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</si>
  <si>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</si>
  <si>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</si>
  <si>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</si>
  <si>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</si>
  <si>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</si>
  <si>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</si>
  <si>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</si>
  <si>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</si>
  <si>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</si>
  <si>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</si>
  <si>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</si>
  <si>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</si>
  <si>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</si>
  <si>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</si>
  <si>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</si>
  <si>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</si>
  <si>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</si>
  <si>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</si>
  <si>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</si>
  <si>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</si>
  <si>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</si>
  <si>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</si>
  <si>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</si>
  <si>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</si>
  <si>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</si>
  <si>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</si>
  <si>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</si>
  <si>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</si>
  <si>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</si>
  <si>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</si>
  <si>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</si>
  <si>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</si>
  <si>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</si>
  <si>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</si>
  <si>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</si>
  <si>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</si>
  <si>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</si>
  <si>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</si>
  <si>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</si>
  <si>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</si>
  <si>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</si>
  <si>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</si>
  <si>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</si>
  <si>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</si>
  <si>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</si>
  <si>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</si>
  <si>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</si>
  <si>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</si>
  <si>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</si>
  <si>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</si>
  <si>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</si>
  <si>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</si>
  <si>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</si>
  <si>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</si>
  <si>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</si>
  <si>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</si>
  <si>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</si>
  <si>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</si>
  <si>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</si>
  <si>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</si>
  <si>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</si>
  <si>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</si>
  <si>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</si>
  <si>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</si>
  <si>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</si>
  <si>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</si>
  <si>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</si>
  <si>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</si>
  <si>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</si>
  <si>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</si>
  <si>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</si>
  <si>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</si>
  <si>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</si>
  <si>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</si>
  <si>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</si>
  <si>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</si>
  <si>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</si>
  <si>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</si>
  <si>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</si>
  <si>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</si>
  <si>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</si>
  <si>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</si>
  <si>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</si>
  <si>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</si>
  <si>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</si>
  <si>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</si>
  <si>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</si>
  <si>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</si>
  <si>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</si>
  <si>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</si>
  <si>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</si>
  <si>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</si>
  <si>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</si>
  <si>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</si>
  <si>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</si>
  <si>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</si>
  <si>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</si>
  <si>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</si>
  <si>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</si>
  <si>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</si>
  <si>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</si>
  <si>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</si>
  <si>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</si>
  <si>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</si>
  <si>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</si>
  <si>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</si>
  <si>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</si>
  <si>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</si>
  <si>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</si>
  <si>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</si>
  <si>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</si>
  <si>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</si>
  <si>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</si>
  <si>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</si>
  <si>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</si>
  <si>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</si>
  <si>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</si>
  <si>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</si>
  <si>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</si>
  <si>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</si>
  <si>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</si>
  <si>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</si>
  <si>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</si>
  <si>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</si>
  <si>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</si>
  <si>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</si>
  <si>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</si>
  <si>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</si>
  <si>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</si>
  <si>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</si>
  <si>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</si>
  <si>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</si>
  <si>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</si>
  <si>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</si>
  <si>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</si>
  <si>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</si>
  <si>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</si>
  <si>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</si>
  <si>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</si>
  <si>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</si>
  <si>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</si>
  <si>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</si>
  <si>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</si>
  <si>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</si>
  <si>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</si>
  <si>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</si>
  <si>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</si>
  <si>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</si>
  <si>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</si>
  <si>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</si>
  <si>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</si>
  <si>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</si>
  <si>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</si>
  <si>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</si>
  <si>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</si>
  <si>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</si>
  <si>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</si>
  <si>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</si>
  <si>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</si>
  <si>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</si>
  <si>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</si>
  <si>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</si>
  <si>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</si>
  <si>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</si>
  <si>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</si>
  <si>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</si>
  <si>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</si>
  <si>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</si>
  <si>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</si>
  <si>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</si>
  <si>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</si>
  <si>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</si>
  <si>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</si>
  <si>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</si>
  <si>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</si>
  <si>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</si>
  <si>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</si>
  <si>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</si>
  <si>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</si>
  <si>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</si>
  <si>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</si>
  <si>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</si>
  <si>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</si>
  <si>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</si>
  <si>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</si>
  <si>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</si>
  <si>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</si>
  <si>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</si>
  <si>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</si>
  <si>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</si>
  <si>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</si>
  <si>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</si>
  <si>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</si>
  <si>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</si>
  <si>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</si>
  <si>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</si>
  <si>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</si>
  <si>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</si>
  <si>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</si>
  <si>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</si>
  <si>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</si>
  <si>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</si>
  <si>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</si>
  <si>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</si>
  <si>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</si>
  <si>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</si>
  <si>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</si>
  <si>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</si>
  <si>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</si>
  <si>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</si>
  <si>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</si>
  <si>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</si>
  <si>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</si>
  <si>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</si>
  <si>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</si>
  <si>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</si>
  <si>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</si>
  <si>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</si>
  <si>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</si>
  <si>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</si>
  <si>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</si>
  <si>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</si>
  <si>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</si>
  <si>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</si>
  <si>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</si>
  <si>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</si>
  <si>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</si>
  <si>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</si>
  <si>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</si>
  <si>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</si>
  <si>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</si>
  <si>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</si>
  <si>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</si>
  <si>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</si>
  <si>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</si>
  <si>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</si>
  <si>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</si>
  <si>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</si>
  <si>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</si>
  <si>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</si>
  <si>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</si>
  <si>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</si>
  <si>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</si>
  <si>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</si>
  <si>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</si>
  <si>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</si>
  <si>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</si>
  <si>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</si>
  <si>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</si>
  <si>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</si>
  <si>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</si>
  <si>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</si>
  <si>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</si>
  <si>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</si>
  <si>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</si>
  <si>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</si>
  <si>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</si>
  <si>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</si>
  <si>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</si>
  <si>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</si>
  <si>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</si>
  <si>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</si>
  <si>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</si>
  <si>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</si>
  <si>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</si>
  <si>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</si>
  <si>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</si>
  <si>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</si>
  <si>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</si>
  <si>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</si>
  <si>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</si>
  <si>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</si>
  <si>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</si>
  <si>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</si>
  <si>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</si>
  <si>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</si>
  <si>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</si>
  <si>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</si>
  <si>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</si>
  <si>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</si>
  <si>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</si>
  <si>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</si>
  <si>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</si>
  <si>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</si>
  <si>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</si>
  <si>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</si>
  <si>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</si>
  <si>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</si>
  <si>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</si>
  <si>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</si>
  <si>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</si>
  <si>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</si>
  <si>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</si>
  <si>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</si>
  <si>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</si>
  <si>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</si>
  <si>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</si>
  <si>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</si>
  <si>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</si>
  <si>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</si>
  <si>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</si>
  <si>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</si>
  <si>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</si>
  <si>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</si>
  <si>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</si>
  <si>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</si>
  <si>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</si>
  <si>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</si>
  <si>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</si>
  <si>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</si>
  <si>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</si>
  <si>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</si>
  <si>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</si>
  <si>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</si>
  <si>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</si>
  <si>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</si>
  <si>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</si>
  <si>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</si>
  <si>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</si>
  <si>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</si>
  <si>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</si>
  <si>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</si>
  <si>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</si>
  <si>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</si>
  <si>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</si>
  <si>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</si>
  <si>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</si>
  <si>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</si>
  <si>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</si>
  <si>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</si>
  <si>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</si>
  <si>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</si>
  <si>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</si>
  <si>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</si>
  <si>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</si>
  <si>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</si>
  <si>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</si>
  <si>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</si>
  <si>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</si>
  <si>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</si>
  <si>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</si>
  <si>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</si>
  <si>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</si>
  <si>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</si>
  <si>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</si>
  <si>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</si>
  <si>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</si>
  <si>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</si>
  <si>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</si>
  <si>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</si>
  <si>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</si>
  <si>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</si>
  <si>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</si>
  <si>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</si>
  <si>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</si>
  <si>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</si>
  <si>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</si>
  <si>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</si>
  <si>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</si>
  <si>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</si>
  <si>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</si>
  <si>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</si>
  <si>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</si>
  <si>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</si>
  <si>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</si>
  <si>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</si>
  <si>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</si>
  <si>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</si>
  <si>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</si>
  <si>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</si>
  <si>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</si>
  <si>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</si>
  <si>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</si>
  <si>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</si>
  <si>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</si>
  <si>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</si>
  <si>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</si>
  <si>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</si>
  <si>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</si>
  <si>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</si>
  <si>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</si>
  <si>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</si>
  <si>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</si>
  <si>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</si>
  <si>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</si>
  <si>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</si>
  <si>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</si>
  <si>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</si>
  <si>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</si>
  <si>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</si>
  <si>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</si>
  <si>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</si>
  <si>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</si>
  <si>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</si>
  <si>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</si>
  <si>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</si>
  <si>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</si>
  <si>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</si>
  <si>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</si>
  <si>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</si>
  <si>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</si>
  <si>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</si>
  <si>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</si>
  <si>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</si>
  <si>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</si>
  <si>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</si>
  <si>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</si>
  <si>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</si>
  <si>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</si>
  <si>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</si>
  <si>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</si>
  <si>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</si>
  <si>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</si>
  <si>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</si>
  <si>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</si>
  <si>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</si>
  <si>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</si>
  <si>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</si>
  <si>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</si>
  <si>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</si>
  <si>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</si>
  <si>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</si>
  <si>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</si>
  <si>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</si>
  <si>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</si>
  <si>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</si>
  <si>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</si>
  <si>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</si>
  <si>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</si>
  <si>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</si>
  <si>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</si>
  <si>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</si>
  <si>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</si>
  <si>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</si>
  <si>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</si>
  <si>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</si>
  <si>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</si>
  <si>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</si>
  <si>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</si>
  <si>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</si>
  <si>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</si>
  <si>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</si>
  <si>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</si>
  <si>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</si>
  <si>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</si>
  <si>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</si>
  <si>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</si>
  <si>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</si>
  <si>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</si>
  <si>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</si>
  <si>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</si>
  <si>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</si>
  <si>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</si>
  <si>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</si>
  <si>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</si>
  <si>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</si>
  <si>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</si>
  <si>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</si>
  <si>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</si>
  <si>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</si>
  <si>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</si>
  <si>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</si>
  <si>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</si>
  <si>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</si>
  <si>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</si>
  <si>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</si>
  <si>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</si>
  <si>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</si>
  <si>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</si>
  <si>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</si>
  <si>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</si>
  <si>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</si>
  <si>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</si>
  <si>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</si>
  <si>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</si>
  <si>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</si>
  <si>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</si>
  <si>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</si>
  <si>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</si>
  <si>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</si>
  <si>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</si>
  <si>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</si>
  <si>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</si>
  <si>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</si>
  <si>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</si>
  <si>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</si>
  <si>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</si>
  <si>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</si>
  <si>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</si>
  <si>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</si>
  <si>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</si>
  <si>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</si>
  <si>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</si>
  <si>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</si>
  <si>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</si>
  <si>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</si>
  <si>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</si>
  <si>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</si>
  <si>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</si>
  <si>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</si>
  <si>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</si>
  <si>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</si>
  <si>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</si>
  <si>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</si>
  <si>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</si>
  <si>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</si>
  <si>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</si>
  <si>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</si>
  <si>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</si>
  <si>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</si>
  <si>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</si>
  <si>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</si>
  <si>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</si>
  <si>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</si>
  <si>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</si>
  <si>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</si>
  <si>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</si>
  <si>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</si>
  <si>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</si>
  <si>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</si>
  <si>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</si>
  <si>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</si>
  <si>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</si>
  <si>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</si>
  <si>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</si>
  <si>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</si>
  <si>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</si>
  <si>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</si>
  <si>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</si>
  <si>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</si>
  <si>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</si>
  <si>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</si>
  <si>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</si>
  <si>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</si>
  <si>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</si>
  <si>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</si>
  <si>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</si>
  <si>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</si>
  <si>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</si>
  <si>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</si>
  <si>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</si>
  <si>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</si>
  <si>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</si>
  <si>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</si>
  <si>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</si>
  <si>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</si>
  <si>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</si>
  <si>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</si>
  <si>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</si>
  <si>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</si>
  <si>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</si>
  <si>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</si>
  <si>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</si>
  <si>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</si>
  <si>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</si>
  <si>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</si>
  <si>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</si>
  <si>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</si>
  <si>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</si>
  <si>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</si>
  <si>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</si>
  <si>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</si>
  <si>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</si>
  <si>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</si>
  <si>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</si>
  <si>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</si>
  <si>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</si>
  <si>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</si>
  <si>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</si>
  <si>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</si>
  <si>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</si>
  <si>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</si>
  <si>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</si>
  <si>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</si>
  <si>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</si>
  <si>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</si>
  <si>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</si>
  <si>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</si>
  <si>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</si>
  <si>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</si>
  <si>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</si>
  <si>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</si>
  <si>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</si>
  <si>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</si>
  <si>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</si>
  <si>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</si>
  <si>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</si>
  <si>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</si>
  <si>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</si>
  <si>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</si>
  <si>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</si>
  <si>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</si>
  <si>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</si>
  <si>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</si>
  <si>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</si>
  <si>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</si>
  <si>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</si>
  <si>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</si>
  <si>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</si>
  <si>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</si>
  <si>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</si>
  <si>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</si>
  <si>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</si>
  <si>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</si>
  <si>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</si>
  <si>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</si>
  <si>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</si>
  <si>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</si>
  <si>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</si>
  <si>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</si>
  <si>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</si>
  <si>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</si>
  <si>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</si>
  <si>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</si>
  <si>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</si>
  <si>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</si>
  <si>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</si>
  <si>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</si>
  <si>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</si>
  <si>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</si>
  <si>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</si>
  <si>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</si>
  <si>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</si>
  <si>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</si>
  <si>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</si>
  <si>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</si>
  <si>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</si>
  <si>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</si>
  <si>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</si>
  <si>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</si>
  <si>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</si>
  <si>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</si>
  <si>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</si>
  <si>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</si>
  <si>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</si>
  <si>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</si>
  <si>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</si>
  <si>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</si>
  <si>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</si>
  <si>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</si>
  <si>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</si>
  <si>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</si>
  <si>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</si>
  <si>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</si>
  <si>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</si>
  <si>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</si>
  <si>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</si>
  <si>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</si>
  <si>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</si>
  <si>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</si>
  <si>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</si>
  <si>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</si>
  <si>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</si>
  <si>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</si>
  <si>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</si>
  <si>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</si>
  <si>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</si>
  <si>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</si>
  <si>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</si>
  <si>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</si>
  <si>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</si>
  <si>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</si>
  <si>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</si>
  <si>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</si>
  <si>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</si>
  <si>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</si>
  <si>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</si>
  <si>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</si>
  <si>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</si>
  <si>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</si>
  <si>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</si>
  <si>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</si>
  <si>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</si>
  <si>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</si>
  <si>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</si>
  <si>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</si>
  <si>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</si>
  <si>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</si>
  <si>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</si>
  <si>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</si>
  <si>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</si>
  <si>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</si>
  <si>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</si>
  <si>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</si>
  <si>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</si>
  <si>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</si>
  <si>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</si>
  <si>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</si>
  <si>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</si>
  <si>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</si>
  <si>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</si>
  <si>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</si>
  <si>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</si>
  <si>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</si>
  <si>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</si>
  <si>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</si>
  <si>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</si>
  <si>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</si>
  <si>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</si>
  <si>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</si>
  <si>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</si>
  <si>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</si>
  <si>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</si>
  <si>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</si>
  <si>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</si>
  <si>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</si>
  <si>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</si>
  <si>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</si>
  <si>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</si>
  <si>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</si>
  <si>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</si>
  <si>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</si>
  <si>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</si>
  <si>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</si>
  <si>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</si>
  <si>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</si>
  <si>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</si>
  <si>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</si>
  <si>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</si>
  <si>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</si>
  <si>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</si>
  <si>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</si>
  <si>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</si>
  <si>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</si>
  <si>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</si>
  <si>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</si>
  <si>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</si>
  <si>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</si>
  <si>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</si>
  <si>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</si>
  <si>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</si>
  <si>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</si>
  <si>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</si>
  <si>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</si>
  <si>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</si>
  <si>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</si>
  <si>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</si>
  <si>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</si>
  <si>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</si>
  <si>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</si>
  <si>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</si>
  <si>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</si>
  <si>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</si>
  <si>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</si>
  <si>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</si>
  <si>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</si>
  <si>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</si>
  <si>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</si>
  <si>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</si>
  <si>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</si>
  <si>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</si>
  <si>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</si>
  <si>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</si>
  <si>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</si>
  <si>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</si>
  <si>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</si>
  <si>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</si>
  <si>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</si>
  <si>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</si>
  <si>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</si>
  <si>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</si>
  <si>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</si>
  <si>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</si>
  <si>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</si>
  <si>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</si>
  <si>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</si>
  <si>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</si>
  <si>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</si>
  <si>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</si>
  <si>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</si>
  <si>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</si>
  <si>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</si>
  <si>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</si>
  <si>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</si>
  <si>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</si>
  <si>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</si>
  <si>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</si>
  <si>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</si>
  <si>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</si>
  <si>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</si>
  <si>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</si>
  <si>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</si>
  <si>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</si>
  <si>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</si>
  <si>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</si>
  <si>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</si>
  <si>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</si>
  <si>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</si>
  <si>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</si>
  <si>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</si>
  <si>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</si>
  <si>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</si>
  <si>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</si>
  <si>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</si>
  <si>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</si>
  <si>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</si>
  <si>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</si>
  <si>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</si>
  <si>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</si>
  <si>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</si>
  <si>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</si>
  <si>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</si>
  <si>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</si>
  <si>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</si>
  <si>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</si>
  <si>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</si>
  <si>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</si>
  <si>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</si>
  <si>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</si>
  <si>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</si>
  <si>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</si>
  <si>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</si>
  <si>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</si>
  <si>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</si>
  <si>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</si>
  <si>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</si>
  <si>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</si>
  <si>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</si>
  <si>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</si>
  <si>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</si>
  <si>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</si>
  <si>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</si>
  <si>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</si>
  <si>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</si>
  <si>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</si>
  <si>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</si>
  <si>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</si>
  <si>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</si>
  <si>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</si>
  <si>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</si>
  <si>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</si>
  <si>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</si>
  <si>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</si>
  <si>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</si>
  <si>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</si>
  <si>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</si>
  <si>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</si>
  <si>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</si>
  <si>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</si>
  <si>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</si>
  <si>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</si>
  <si>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</si>
  <si>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</si>
  <si>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</si>
  <si>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</si>
  <si>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</si>
  <si>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</si>
  <si>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</si>
  <si>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</si>
  <si>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</si>
  <si>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</si>
  <si>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</si>
  <si>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</si>
  <si>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</si>
  <si>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</si>
  <si>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</si>
  <si>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</si>
  <si>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</si>
  <si>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</si>
  <si>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</si>
  <si>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</si>
  <si>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</si>
  <si>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</si>
  <si>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</si>
  <si>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</si>
  <si>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</si>
  <si>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</si>
  <si>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</si>
  <si>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</si>
  <si>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</si>
  <si>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</si>
  <si>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</si>
  <si>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</si>
  <si>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</si>
  <si>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</si>
  <si>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</si>
  <si>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</si>
  <si>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</si>
  <si>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</si>
  <si>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</si>
  <si>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</si>
  <si>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</si>
  <si>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</si>
  <si>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</si>
  <si>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</si>
  <si>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</si>
  <si>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</si>
  <si>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</si>
  <si>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</si>
  <si>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</si>
  <si>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</si>
  <si>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</si>
  <si>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</si>
  <si>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</si>
  <si>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</si>
  <si>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</si>
  <si>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</si>
  <si>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</si>
  <si>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</si>
  <si>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</si>
  <si>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</si>
  <si>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</si>
  <si>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</si>
  <si>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</si>
  <si>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</si>
  <si>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</si>
  <si>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</si>
  <si>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</si>
  <si>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</si>
  <si>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</si>
  <si>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</si>
  <si>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</si>
  <si>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</si>
  <si>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</si>
  <si>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</si>
  <si>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</si>
  <si>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</si>
  <si>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</si>
  <si>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</si>
  <si>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</si>
  <si>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</si>
  <si>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</si>
  <si>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</si>
  <si>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</si>
  <si>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</si>
  <si>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</si>
  <si>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</si>
  <si>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</si>
  <si>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</si>
  <si>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</si>
  <si>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</si>
  <si>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</si>
  <si>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</si>
  <si>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</si>
  <si>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</si>
  <si>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</si>
  <si>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</si>
  <si>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</si>
  <si>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</si>
  <si>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</si>
  <si>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</si>
  <si>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</si>
  <si>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</si>
  <si>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</si>
  <si>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</si>
  <si>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</si>
  <si>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</si>
  <si>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</si>
  <si>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</si>
  <si>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</si>
  <si>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</si>
  <si>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</si>
  <si>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</si>
  <si>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</si>
  <si>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</si>
  <si>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</si>
  <si>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</si>
  <si>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</si>
  <si>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</si>
  <si>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</si>
  <si>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</si>
  <si>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</si>
  <si>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</si>
  <si>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</si>
  <si>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</si>
  <si>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</si>
  <si>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</si>
  <si>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</si>
  <si>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</si>
  <si>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</si>
  <si>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</si>
  <si>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</si>
  <si>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</si>
  <si>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</si>
  <si>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</si>
  <si>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</si>
  <si>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</si>
  <si>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</si>
  <si>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</si>
  <si>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</si>
  <si>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</si>
  <si>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</si>
  <si>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</si>
  <si>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</si>
  <si>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</si>
  <si>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</si>
  <si>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</si>
  <si>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</si>
  <si>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</si>
  <si>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</si>
  <si>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</si>
  <si>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</si>
  <si>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</si>
  <si>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</si>
  <si>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</si>
  <si>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</si>
  <si>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</si>
  <si>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</si>
  <si>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</si>
  <si>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</si>
  <si>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</si>
  <si>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</si>
  <si>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</si>
  <si>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</si>
  <si>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</si>
  <si>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</si>
  <si>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</si>
  <si>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</si>
  <si>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</si>
  <si>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</si>
  <si>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</si>
  <si>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</si>
  <si>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</si>
  <si>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</si>
  <si>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</si>
  <si>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</si>
  <si>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</si>
  <si>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</si>
  <si>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</si>
  <si>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</si>
  <si>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</si>
  <si>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</si>
  <si>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</si>
  <si>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</si>
  <si>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</si>
  <si>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</si>
  <si>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</si>
  <si>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</si>
  <si>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</si>
  <si>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</si>
  <si>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</si>
  <si>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</si>
  <si>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</si>
  <si>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</si>
  <si>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</si>
  <si>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</si>
  <si>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</si>
  <si>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</si>
  <si>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</si>
  <si>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</si>
  <si>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</si>
  <si>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</si>
  <si>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</si>
  <si>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</si>
  <si>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</si>
  <si>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</si>
  <si>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</si>
  <si>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</si>
  <si>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</si>
  <si>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</si>
  <si>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</si>
  <si>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</si>
  <si>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</si>
  <si>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</si>
  <si>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</si>
  <si>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</si>
  <si>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</si>
  <si>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</si>
  <si>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</si>
  <si>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</si>
  <si>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</si>
  <si>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</si>
  <si>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</si>
  <si>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</si>
  <si>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</si>
  <si>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</si>
  <si>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</si>
  <si>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</si>
  <si>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</si>
  <si>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</si>
  <si>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</si>
  <si>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</si>
  <si>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</si>
  <si>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</si>
  <si>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</si>
  <si>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</si>
  <si>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</si>
  <si>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</si>
  <si>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</si>
  <si>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</si>
  <si>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</si>
  <si>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</si>
  <si>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</si>
  <si>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</si>
  <si>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</si>
  <si>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</si>
  <si>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</si>
  <si>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</si>
  <si>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</si>
  <si>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</si>
  <si>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</si>
  <si>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</si>
  <si>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</si>
  <si>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</si>
  <si>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</si>
  <si>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</si>
  <si>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</si>
  <si>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</si>
  <si>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</si>
  <si>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</si>
  <si>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</si>
  <si>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</si>
  <si>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</si>
  <si>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</si>
  <si>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</si>
  <si>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</si>
  <si>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</si>
  <si>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</si>
  <si>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</si>
  <si>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</si>
  <si>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</si>
  <si>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</si>
  <si>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</si>
  <si>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</si>
  <si>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</si>
  <si>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</si>
  <si>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</si>
  <si>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</si>
  <si>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</si>
  <si>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</si>
  <si>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</si>
  <si>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</si>
  <si>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</si>
  <si>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</si>
  <si>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</si>
  <si>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</si>
  <si>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</si>
  <si>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</si>
  <si>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</si>
  <si>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</si>
  <si>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</si>
  <si>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</si>
  <si>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</si>
  <si>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</si>
  <si>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</si>
  <si>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</si>
  <si>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</si>
  <si>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</si>
  <si>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</si>
  <si>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</si>
  <si>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</si>
  <si>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</si>
  <si>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</si>
  <si>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</si>
  <si>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</si>
  <si>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</si>
  <si>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</si>
  <si>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</si>
  <si>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</si>
  <si>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</si>
  <si>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</si>
  <si>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</si>
  <si>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</si>
  <si>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</si>
  <si>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</si>
  <si>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</si>
  <si>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</si>
  <si>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</si>
  <si>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</si>
  <si>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</si>
  <si>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</si>
  <si>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</si>
  <si>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</si>
  <si>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</si>
  <si>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</si>
  <si>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</si>
  <si>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</si>
  <si>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</si>
  <si>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</si>
  <si>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</si>
  <si>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</si>
  <si>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</si>
  <si>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</si>
  <si>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</si>
  <si>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</si>
  <si>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</si>
  <si>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</si>
  <si>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</si>
  <si>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</si>
  <si>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</si>
  <si>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</si>
  <si>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</si>
  <si>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</si>
  <si>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</si>
  <si>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</si>
  <si>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</si>
  <si>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</si>
  <si>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</si>
  <si>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</si>
  <si>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</si>
  <si>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</si>
  <si>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</si>
  <si>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</si>
  <si>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</si>
  <si>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</si>
  <si>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</si>
  <si>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</si>
  <si>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</si>
  <si>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</si>
  <si>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</si>
  <si>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</si>
  <si>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</si>
  <si>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</si>
  <si>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</si>
  <si>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</si>
  <si>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</si>
  <si>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</si>
  <si>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</si>
  <si>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</si>
  <si>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</si>
  <si>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</si>
  <si>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</si>
  <si>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</si>
  <si>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</si>
  <si>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</si>
  <si>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</si>
  <si>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</si>
  <si>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</si>
  <si>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</si>
  <si>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</si>
  <si>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</si>
  <si>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</si>
  <si>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</si>
  <si>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</si>
  <si>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</si>
  <si>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</si>
  <si>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</si>
  <si>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</si>
  <si>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</si>
  <si>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</si>
  <si>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</si>
  <si>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</si>
  <si>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</si>
  <si>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</si>
  <si>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</si>
  <si>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</si>
  <si>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</si>
  <si>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</si>
  <si>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</si>
  <si>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</si>
  <si>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</si>
  <si>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</si>
  <si>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</si>
  <si>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</si>
  <si>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</si>
  <si>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</si>
  <si>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</si>
  <si>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</si>
  <si>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</si>
  <si>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</si>
  <si>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</si>
  <si>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</si>
  <si>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</si>
  <si>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</si>
  <si>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</si>
  <si>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</si>
  <si>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</si>
  <si>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</si>
  <si>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</si>
  <si>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</si>
  <si>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</si>
  <si>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</si>
  <si>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</si>
  <si>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</si>
  <si>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</si>
  <si>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</si>
  <si>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</si>
  <si>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</si>
  <si>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</si>
  <si>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</si>
  <si>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</si>
  <si>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</si>
  <si>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</si>
  <si>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</si>
  <si>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</si>
  <si>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</si>
  <si>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</si>
  <si>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</si>
  <si>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</si>
  <si>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</si>
  <si>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</si>
  <si>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</si>
  <si>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</si>
  <si>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</si>
  <si>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</si>
  <si>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</si>
  <si>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</si>
  <si>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</si>
  <si>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</si>
  <si>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</si>
  <si>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</si>
  <si>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</si>
  <si>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</si>
  <si>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</si>
  <si>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</si>
  <si>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</si>
  <si>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</si>
  <si>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</si>
  <si>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</si>
  <si>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</si>
  <si>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</si>
  <si>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</si>
  <si>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</si>
  <si>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</si>
  <si>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</si>
  <si>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</si>
  <si>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</si>
  <si>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</si>
  <si>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</si>
  <si>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</si>
  <si>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</si>
  <si>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</si>
  <si>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</si>
  <si>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</si>
  <si>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</si>
  <si>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</si>
  <si>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</si>
  <si>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</si>
  <si>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</si>
  <si>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</si>
  <si>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</si>
  <si>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</si>
  <si>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</si>
  <si>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</si>
  <si>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</si>
  <si>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</si>
  <si>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</si>
  <si>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</si>
  <si>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</si>
  <si>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</si>
  <si>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</si>
  <si>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</si>
  <si>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</si>
  <si>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</si>
  <si>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</si>
  <si>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</si>
  <si>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</si>
  <si>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</si>
  <si>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</si>
  <si>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</si>
  <si>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</si>
  <si>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</si>
  <si>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</si>
  <si>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</si>
  <si>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</si>
  <si>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</si>
  <si>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</si>
  <si>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</si>
  <si>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</si>
  <si>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</si>
  <si>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</si>
  <si>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</si>
  <si>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</si>
  <si>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</si>
  <si>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</si>
  <si>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</si>
  <si>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</si>
  <si>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</si>
  <si>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</si>
  <si>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</si>
  <si>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</si>
  <si>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</si>
  <si>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</si>
  <si>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</si>
  <si>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</si>
  <si>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</si>
  <si>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</si>
  <si>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</si>
  <si>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</si>
  <si>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</si>
  <si>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</si>
  <si>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</si>
  <si>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</si>
  <si>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</si>
  <si>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</si>
  <si>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</si>
  <si>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</si>
  <si>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</si>
  <si>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</si>
  <si>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</si>
  <si>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</si>
  <si>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</si>
  <si>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</si>
  <si>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</si>
  <si>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</si>
  <si>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</si>
  <si>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</si>
  <si>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</si>
  <si>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</si>
  <si>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</si>
  <si>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</si>
  <si>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</si>
  <si>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</si>
  <si>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</si>
  <si>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</si>
  <si>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</si>
  <si>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</si>
  <si>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</si>
  <si>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</si>
  <si>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</si>
  <si>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</si>
  <si>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</si>
  <si>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</si>
  <si>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</si>
  <si>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</si>
  <si>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</si>
  <si>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</si>
  <si>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</si>
  <si>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</si>
  <si>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</si>
  <si>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</si>
  <si>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</si>
  <si>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</si>
  <si>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</si>
  <si>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</si>
  <si>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</si>
  <si>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</si>
  <si>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</si>
  <si>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</si>
  <si>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</si>
  <si>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</si>
  <si>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</si>
  <si>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</si>
  <si>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</si>
  <si>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</si>
  <si>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</si>
  <si>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</si>
  <si>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</si>
  <si>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</si>
  <si>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</si>
  <si>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</si>
  <si>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</si>
  <si>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</si>
  <si>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</si>
  <si>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</si>
  <si>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</si>
  <si>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</si>
  <si>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</si>
  <si>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</si>
  <si>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</si>
  <si>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</si>
  <si>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</si>
  <si>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</si>
  <si>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</si>
  <si>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</si>
  <si>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</si>
  <si>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</si>
  <si>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</si>
  <si>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</si>
  <si>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</si>
  <si>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</si>
  <si>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</si>
  <si>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</si>
  <si>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</si>
  <si>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</si>
  <si>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</si>
  <si>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</si>
  <si>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</si>
  <si>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</si>
  <si>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</si>
  <si>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</si>
  <si>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</si>
  <si>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</si>
  <si>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</si>
  <si>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</si>
  <si>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</si>
  <si>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</si>
  <si>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</si>
  <si>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</si>
  <si>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</si>
  <si>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</si>
  <si>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</si>
  <si>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</si>
  <si>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</si>
  <si>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</si>
  <si>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</si>
  <si>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</si>
  <si>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</si>
  <si>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</si>
  <si>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</si>
  <si>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</si>
  <si>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</si>
  <si>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</si>
  <si>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</si>
  <si>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</si>
  <si>
    <t>不规则</t>
  </si>
  <si>
    <t>不规则</t>
    <phoneticPr fontId="28" type="noConversion"/>
  </si>
  <si>
    <t>不规则</t>
    <phoneticPr fontId="224" type="noConversion"/>
  </si>
  <si>
    <t>比较法-工业</t>
  </si>
  <si>
    <t>五级</t>
    <phoneticPr fontId="28" type="noConversion"/>
  </si>
  <si>
    <t>六级</t>
    <phoneticPr fontId="28" type="noConversion"/>
  </si>
  <si>
    <t>七级</t>
    <phoneticPr fontId="28" type="noConversion"/>
  </si>
  <si>
    <t>八级</t>
    <phoneticPr fontId="28" type="noConversion"/>
  </si>
  <si>
    <r>
      <rPr>
        <sz val="11"/>
        <color theme="9" tint="-0.249977111117893"/>
        <rFont val="宋体"/>
        <family val="3"/>
        <charset val="134"/>
      </rPr>
      <t>北京市昌平区北七家工业园区土地一级开发</t>
    </r>
    <r>
      <rPr>
        <sz val="11"/>
        <color theme="9" tint="-0.249977111117893"/>
        <rFont val="Arial"/>
        <family val="2"/>
      </rPr>
      <t>(</t>
    </r>
    <r>
      <rPr>
        <sz val="11"/>
        <color theme="9" tint="-0.249977111117893"/>
        <rFont val="宋体"/>
        <family val="3"/>
        <charset val="134"/>
      </rPr>
      <t>一期</t>
    </r>
    <r>
      <rPr>
        <sz val="11"/>
        <color theme="9" tint="-0.249977111117893"/>
        <rFont val="Arial"/>
        <family val="2"/>
      </rPr>
      <t>)</t>
    </r>
    <r>
      <rPr>
        <sz val="11"/>
        <color theme="9" tint="-0.249977111117893"/>
        <rFont val="宋体"/>
        <family val="3"/>
        <charset val="134"/>
      </rPr>
      <t>项目</t>
    </r>
    <r>
      <rPr>
        <sz val="11"/>
        <color theme="9" tint="-0.249977111117893"/>
        <rFont val="Arial"/>
        <family val="2"/>
      </rPr>
      <t>CP01-1502-0009</t>
    </r>
    <r>
      <rPr>
        <sz val="11"/>
        <color theme="9" tint="-0.249977111117893"/>
        <rFont val="宋体"/>
        <family val="3"/>
        <charset val="134"/>
      </rPr>
      <t>、</t>
    </r>
    <r>
      <rPr>
        <sz val="11"/>
        <color theme="9" tint="-0.249977111117893"/>
        <rFont val="Arial"/>
        <family val="2"/>
      </rPr>
      <t>0011</t>
    </r>
    <r>
      <rPr>
        <sz val="11"/>
        <color theme="9" tint="-0.249977111117893"/>
        <rFont val="宋体"/>
        <family val="3"/>
        <charset val="134"/>
      </rPr>
      <t>地块</t>
    </r>
    <r>
      <rPr>
        <sz val="11"/>
        <color theme="9" tint="-0.249977111117893"/>
        <rFont val="Arial"/>
        <family val="2"/>
      </rPr>
      <t>M1</t>
    </r>
    <r>
      <rPr>
        <sz val="11"/>
        <color theme="9" tint="-0.249977111117893"/>
        <rFont val="宋体"/>
        <family val="3"/>
        <charset val="134"/>
      </rPr>
      <t>类工业用地</t>
    </r>
    <phoneticPr fontId="28" type="noConversion"/>
  </si>
  <si>
    <r>
      <rPr>
        <sz val="11"/>
        <color theme="9" tint="-0.249977111117893"/>
        <rFont val="宋体"/>
        <family val="3"/>
        <charset val="134"/>
      </rPr>
      <t>昌平区北七家工业园区土地一级开发</t>
    </r>
    <r>
      <rPr>
        <sz val="11"/>
        <color theme="9" tint="-0.249977111117893"/>
        <rFont val="Arial"/>
        <family val="2"/>
      </rPr>
      <t>(</t>
    </r>
    <r>
      <rPr>
        <sz val="11"/>
        <color theme="9" tint="-0.249977111117893"/>
        <rFont val="宋体"/>
        <family val="3"/>
        <charset val="134"/>
      </rPr>
      <t>一期</t>
    </r>
    <r>
      <rPr>
        <sz val="11"/>
        <color theme="9" tint="-0.249977111117893"/>
        <rFont val="Arial"/>
        <family val="2"/>
      </rPr>
      <t>)</t>
    </r>
    <r>
      <rPr>
        <sz val="11"/>
        <color theme="9" tint="-0.249977111117893"/>
        <rFont val="宋体"/>
        <family val="3"/>
        <charset val="134"/>
      </rPr>
      <t>项目</t>
    </r>
    <r>
      <rPr>
        <sz val="11"/>
        <color theme="9" tint="-0.249977111117893"/>
        <rFont val="Arial"/>
        <family val="2"/>
      </rPr>
      <t>CP01-1502-0007</t>
    </r>
    <r>
      <rPr>
        <sz val="11"/>
        <color theme="9" tint="-0.249977111117893"/>
        <rFont val="宋体"/>
        <family val="3"/>
        <charset val="134"/>
      </rPr>
      <t>地块</t>
    </r>
    <r>
      <rPr>
        <sz val="11"/>
        <color theme="9" tint="-0.249977111117893"/>
        <rFont val="Arial"/>
        <family val="2"/>
      </rPr>
      <t>M1</t>
    </r>
    <r>
      <rPr>
        <sz val="11"/>
        <color theme="9" tint="-0.249977111117893"/>
        <rFont val="宋体"/>
        <family val="3"/>
        <charset val="134"/>
      </rPr>
      <t>一类工业用地</t>
    </r>
    <phoneticPr fontId="28" type="noConversion"/>
  </si>
  <si>
    <r>
      <rPr>
        <sz val="11"/>
        <color theme="9" tint="-0.249977111117893"/>
        <rFont val="宋体"/>
        <family val="3"/>
        <charset val="134"/>
      </rPr>
      <t>中关村科技园区昌平园东区六期土地一级开发项目</t>
    </r>
    <r>
      <rPr>
        <sz val="11"/>
        <color theme="9" tint="-0.249977111117893"/>
        <rFont val="Arial"/>
        <family val="2"/>
      </rPr>
      <t>CP00-1201-0006</t>
    </r>
    <r>
      <rPr>
        <sz val="11"/>
        <color theme="9" tint="-0.249977111117893"/>
        <rFont val="宋体"/>
        <family val="3"/>
        <charset val="134"/>
      </rPr>
      <t>地块</t>
    </r>
    <r>
      <rPr>
        <sz val="11"/>
        <color theme="9" tint="-0.249977111117893"/>
        <rFont val="Arial"/>
        <family val="2"/>
      </rPr>
      <t xml:space="preserve"> M1 </t>
    </r>
    <r>
      <rPr>
        <sz val="11"/>
        <color theme="9" tint="-0.249977111117893"/>
        <rFont val="宋体"/>
        <family val="3"/>
        <charset val="134"/>
      </rPr>
      <t>一类工业用地</t>
    </r>
    <phoneticPr fontId="28" type="noConversion"/>
  </si>
  <si>
    <t>https://yewu.ghzrzyw.beijing.gov.cn/gwxxfb/tdsc/tdcjylb.html</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</si>
</sst>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u/>
      <sz val="11"/>
      <color theme="1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applyNumberFormat="0" applyFill="0" applyBorder="0" applyAlignment="0" applyProtection="0">
      <alignment vertical="center"/>
    </xf>
  </cellStyleXfs>
  <cellXfs count="40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186" fontId="79" fillId="26" borderId="83" xfId="3" applyNumberFormat="1" applyFont="1" applyFill="1" applyBorder="1" applyAlignment="1" applyProtection="1">
      <alignment horizontal="center" vertical="center" wrapText="1"/>
    </xf>
    <xf numFmtId="9" fontId="91" fillId="20" borderId="5" xfId="2" applyNumberFormat="1" applyFont="1" applyFill="1" applyBorder="1" applyAlignment="1" applyProtection="1">
      <alignment horizontal="center" vertical="center"/>
      <protection locked="0"/>
    </xf>
    <xf numFmtId="0" fontId="0" fillId="16" borderId="0" xfId="0" applyFill="1">
      <alignment vertical="center"/>
    </xf>
    <xf numFmtId="0" fontId="300" fillId="0" borderId="0" xfId="18">
      <alignment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160020</xdr:rowOff>
    </xdr:from>
    <xdr:to>
      <xdr:col>13</xdr:col>
      <xdr:colOff>332219</xdr:colOff>
      <xdr:row>31</xdr:row>
      <xdr:rowOff>147947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57019" cy="5474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602206</xdr:colOff>
      <xdr:row>43</xdr:row>
      <xdr:rowOff>116603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17406" cy="7980443"/>
        </a:xfrm>
        <a:prstGeom prst="rect">
          <a:avLst/>
        </a:prstGeom>
      </xdr:spPr>
    </xdr:pic>
    <xdr:clientData/>
  </xdr:twoCellAnchor>
  <xdr:twoCellAnchor editAs="oneCell">
    <xdr:from>
      <xdr:col>13</xdr:col>
      <xdr:colOff>68580</xdr:colOff>
      <xdr:row>0</xdr:row>
      <xdr:rowOff>0</xdr:rowOff>
    </xdr:from>
    <xdr:to>
      <xdr:col>23</xdr:col>
      <xdr:colOff>196839</xdr:colOff>
      <xdr:row>17</xdr:row>
      <xdr:rowOff>126484</xdr:rowOff>
    </xdr:to>
    <xdr:pic>
      <xdr:nvPicPr>
        <xdr:cNvPr id="3" name="图片 2"/>
        <xdr:cNvPicPr>
          <a:picLocks noChangeAspect="1"/>
        </xdr:cNvPicPr>
      </xdr:nvPicPr>
      <xdr:blipFill>
        <a:blip xmlns:r="http://schemas.openxmlformats.org/officeDocument/2006/relationships" r:embed="rId2"/>
        <a:stretch>
          <a:fillRect/>
        </a:stretch>
      </xdr:blipFill>
      <xdr:spPr>
        <a:xfrm>
          <a:off x="7993380" y="0"/>
          <a:ext cx="6399519" cy="3235444"/>
        </a:xfrm>
        <a:prstGeom prst="rect">
          <a:avLst/>
        </a:prstGeom>
      </xdr:spPr>
    </xdr:pic>
    <xdr:clientData/>
  </xdr:twoCellAnchor>
  <xdr:twoCellAnchor editAs="oneCell">
    <xdr:from>
      <xdr:col>3</xdr:col>
      <xdr:colOff>165250</xdr:colOff>
      <xdr:row>34</xdr:row>
      <xdr:rowOff>114300</xdr:rowOff>
    </xdr:from>
    <xdr:to>
      <xdr:col>17</xdr:col>
      <xdr:colOff>108716</xdr:colOff>
      <xdr:row>66</xdr:row>
      <xdr:rowOff>168334</xdr:rowOff>
    </xdr:to>
    <xdr:pic>
      <xdr:nvPicPr>
        <xdr:cNvPr id="4" name="图片 3"/>
        <xdr:cNvPicPr>
          <a:picLocks noChangeAspect="1"/>
        </xdr:cNvPicPr>
      </xdr:nvPicPr>
      <xdr:blipFill>
        <a:blip xmlns:r="http://schemas.openxmlformats.org/officeDocument/2006/relationships" r:embed="rId3"/>
        <a:stretch>
          <a:fillRect/>
        </a:stretch>
      </xdr:blipFill>
      <xdr:spPr>
        <a:xfrm>
          <a:off x="1994050" y="6332220"/>
          <a:ext cx="8653126" cy="5906194"/>
        </a:xfrm>
        <a:prstGeom prst="rect">
          <a:avLst/>
        </a:prstGeom>
      </xdr:spPr>
    </xdr:pic>
    <xdr:clientData/>
  </xdr:twoCellAnchor>
  <xdr:twoCellAnchor editAs="oneCell">
    <xdr:from>
      <xdr:col>17</xdr:col>
      <xdr:colOff>302410</xdr:colOff>
      <xdr:row>34</xdr:row>
      <xdr:rowOff>91440</xdr:rowOff>
    </xdr:from>
    <xdr:to>
      <xdr:col>29</xdr:col>
      <xdr:colOff>482448</xdr:colOff>
      <xdr:row>63</xdr:row>
      <xdr:rowOff>35539</xdr:rowOff>
    </xdr:to>
    <xdr:pic>
      <xdr:nvPicPr>
        <xdr:cNvPr id="5" name="图片 4"/>
        <xdr:cNvPicPr>
          <a:picLocks noChangeAspect="1"/>
        </xdr:cNvPicPr>
      </xdr:nvPicPr>
      <xdr:blipFill>
        <a:blip xmlns:r="http://schemas.openxmlformats.org/officeDocument/2006/relationships" r:embed="rId4"/>
        <a:stretch>
          <a:fillRect/>
        </a:stretch>
      </xdr:blipFill>
      <xdr:spPr>
        <a:xfrm>
          <a:off x="10840870" y="6309360"/>
          <a:ext cx="7495238" cy="5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xmlns=""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xmlns=""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xmlns=""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xmlns=""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xmlns=""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xmlns=""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xmlns=""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xmlns=""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xmlns=""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xmlns=""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xmlns=""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xmlns=""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a16="http://schemas.microsoft.com/office/drawing/2014/main" xmlns=""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a16="http://schemas.microsoft.com/office/drawing/2014/main" xmlns=""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a16="http://schemas.microsoft.com/office/drawing/2014/main" xmlns=""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a16="http://schemas.microsoft.com/office/drawing/2014/main" xmlns=""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xmlns=""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yewu.ghzrzyw.beijing.gov.cn/gwxxfb/tdsc/tdcjylb.html"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北京市出让国有建设用地使用权市场价格预评估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受贵公司委托，我公司对北京市出让国有建设用地使用权市场价格进行了预评估。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本次评估为委托估价方了解标的物之市场价格提供参考依据而评估出让国有建设用地使用权市场价格。</v>
      </c>
    </row>
    <row r="10" spans="1:55" s="2355" customFormat="1">
      <c r="A10" s="2356" t="s">
        <v>1941</v>
      </c>
      <c r="B10" s="2357" t="str">
        <f>'预评函-1'!A11</f>
        <v>2024年11月1日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根据《国有土地使用证》[]，估价对象（分摊）出让国有建设用地使用权面积为76200平方米。根据《建设工程规划许可证》[]、《出让合同》[]，估价对象规划建筑面积为76200平方米。</v>
      </c>
    </row>
    <row r="16" spans="1:55" s="2355" customFormat="1">
      <c r="A16" s="2356" t="s">
        <v>1951</v>
      </c>
      <c r="B16" s="2357" t="str">
        <f>'预评函-1'!A22</f>
        <v>本次估价对象为出让国有建设用地使用权，《国有土地使用证》[]证载土地终止日期为工业2047年10月27日。截至估价期日，出让国有建设用地使用权剩余土地使用年限为。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估价期日：2024年11月1日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76200</v>
      </c>
    </row>
    <row r="44" spans="1:2">
      <c r="A44" s="2356" t="s">
        <v>2022</v>
      </c>
      <c r="B44" s="2357" t="str">
        <f>'预评函-2'!O3</f>
        <v>规划建筑面积/㎡</v>
      </c>
    </row>
    <row r="45" spans="1:2">
      <c r="A45" s="2356" t="s">
        <v>2004</v>
      </c>
      <c r="B45" s="2357">
        <f>'预评函-2'!O5</f>
        <v>76200</v>
      </c>
    </row>
    <row r="46" spans="1:2">
      <c r="A46" s="2356" t="s">
        <v>2005</v>
      </c>
      <c r="B46" s="2357">
        <f ca="1">'预评函-2'!P5</f>
        <v>1943</v>
      </c>
    </row>
    <row r="47" spans="1:2">
      <c r="A47" s="2356" t="s">
        <v>2006</v>
      </c>
      <c r="B47" s="2357">
        <f ca="1">'预评函-2'!Q5</f>
        <v>1943</v>
      </c>
    </row>
    <row r="48" spans="1:2">
      <c r="A48" s="2356" t="s">
        <v>2007</v>
      </c>
      <c r="B48" s="2357">
        <f ca="1">'预评函-2'!R5</f>
        <v>14809</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4"/>
  </cols>
  <sheetData>
    <row r="1" spans="1:6">
      <c r="A1" s="3281" t="s">
        <v>2677</v>
      </c>
      <c r="B1" s="3282"/>
      <c r="C1" s="3282"/>
      <c r="D1" s="3282"/>
      <c r="E1" s="3282"/>
      <c r="F1" s="3283"/>
    </row>
    <row r="2" spans="1:6">
      <c r="A2" s="3285"/>
      <c r="B2" s="3286"/>
      <c r="C2" s="3286"/>
      <c r="D2" s="3286"/>
      <c r="E2" s="3286"/>
      <c r="F2" s="3287"/>
    </row>
    <row r="3" spans="1:6">
      <c r="A3" s="3288" t="s">
        <v>2678</v>
      </c>
      <c r="B3" s="3289">
        <f>项目基本情况!D3</f>
        <v>45597</v>
      </c>
      <c r="C3" s="3290"/>
      <c r="D3" s="3290"/>
      <c r="E3" s="3290"/>
      <c r="F3" s="3287"/>
    </row>
    <row r="4" spans="1:6">
      <c r="A4" s="3288" t="s">
        <v>2679</v>
      </c>
      <c r="B4" s="3291" t="s">
        <v>2680</v>
      </c>
      <c r="C4" s="3291" t="s">
        <v>2681</v>
      </c>
      <c r="D4" s="3291" t="s">
        <v>2682</v>
      </c>
      <c r="E4" s="3291" t="s">
        <v>2683</v>
      </c>
      <c r="F4" s="3287"/>
    </row>
    <row r="5" spans="1:6">
      <c r="A5" s="3292"/>
      <c r="B5" s="3289"/>
      <c r="C5" s="3291">
        <f>ROUNDDOWN(MIN((B5-B3)/365,A5),2)</f>
        <v>-124.92</v>
      </c>
      <c r="D5" s="3293">
        <f>IF(ISERROR(ROUND(POWER(1+E5,A5-C5)*(POWER(1+E5,C5)-1)/(POWER(1+E5,A5)-1),3)),0,ROUND(POWER(1+E5,A5-C5)*(POWER(1+E5,C5)-1)/(POWER(1+E5,A5)-1),4))</f>
        <v>0</v>
      </c>
      <c r="E5" s="3294"/>
      <c r="F5" s="3287"/>
    </row>
    <row r="6" spans="1:6">
      <c r="A6" s="3292"/>
      <c r="B6" s="3289"/>
      <c r="C6" s="3291">
        <f>ROUNDDOWN(MIN((B6-B3)/365,A6),2)</f>
        <v>-124.92</v>
      </c>
      <c r="D6" s="3293">
        <f>IF(ISERROR(ROUND(POWER(1+E6,A6-C6)*(POWER(1+E6,C6)-1)/(POWER(1+E6,A6)-1),3)),0,ROUND(POWER(1+E6,A6-C6)*(POWER(1+E6,C6)-1)/(POWER(1+E6,A6)-1),4))</f>
        <v>0</v>
      </c>
      <c r="E6" s="3294"/>
      <c r="F6" s="3287"/>
    </row>
    <row r="7" spans="1:6">
      <c r="A7" s="3292"/>
      <c r="B7" s="3289"/>
      <c r="C7" s="3291">
        <f>ROUNDDOWN(MIN((B7-B3)/365,A7),2)</f>
        <v>-124.92</v>
      </c>
      <c r="D7" s="3293">
        <f>IF(ISERROR(ROUND(POWER(1+E7,A7-C7)*(POWER(1+E7,C7)-1)/(POWER(1+E7,A7)-1),3)),0,ROUND(POWER(1+E7,A7-C7)*(POWER(1+E7,C7)-1)/(POWER(1+E7,A7)-1),4))</f>
        <v>0</v>
      </c>
      <c r="E7" s="3294"/>
      <c r="F7" s="3287"/>
    </row>
    <row r="8" spans="1:6">
      <c r="A8" s="3285"/>
      <c r="B8" s="3286"/>
      <c r="C8" s="3286"/>
      <c r="D8" s="3286"/>
      <c r="E8" s="3286"/>
      <c r="F8" s="3287"/>
    </row>
    <row r="9" spans="1:6">
      <c r="A9" s="3288" t="s">
        <v>2684</v>
      </c>
      <c r="B9" s="3291"/>
      <c r="C9" s="3291"/>
      <c r="D9" s="3291"/>
      <c r="E9" s="3291"/>
      <c r="F9" s="3295"/>
    </row>
    <row r="10" spans="1:6">
      <c r="A10" s="3288" t="s">
        <v>2685</v>
      </c>
      <c r="B10" s="3291"/>
      <c r="C10" s="3291"/>
      <c r="D10" s="3291" t="s">
        <v>2683</v>
      </c>
      <c r="E10" s="3291"/>
      <c r="F10" s="3295" t="s">
        <v>2682</v>
      </c>
    </row>
    <row r="11" spans="1:6">
      <c r="A11" s="3288" t="s">
        <v>2686</v>
      </c>
      <c r="B11" s="3296"/>
      <c r="C11" s="3291" t="s">
        <v>2687</v>
      </c>
      <c r="D11" s="3297"/>
      <c r="E11" s="3291" t="s">
        <v>2688</v>
      </c>
      <c r="F11" s="3298">
        <f>ROUND(1-(1/(POWER(1+D11,B11))),4)</f>
        <v>0</v>
      </c>
    </row>
    <row r="12" spans="1:6">
      <c r="A12" s="3288" t="s">
        <v>2689</v>
      </c>
      <c r="B12" s="3296"/>
      <c r="C12" s="3291" t="s">
        <v>2690</v>
      </c>
      <c r="D12" s="3297"/>
      <c r="E12" s="3291" t="s">
        <v>2691</v>
      </c>
      <c r="F12" s="3298">
        <f>ROUND(1-(1/(POWER(1+D12,B12))),4)</f>
        <v>0</v>
      </c>
    </row>
    <row r="13" spans="1:6">
      <c r="A13" s="3288" t="s">
        <v>2692</v>
      </c>
      <c r="B13" s="3291"/>
      <c r="C13" s="3290"/>
      <c r="D13" s="3286"/>
      <c r="E13" s="3286"/>
      <c r="F13" s="3287"/>
    </row>
    <row r="14" spans="1:6">
      <c r="A14" s="3288" t="s">
        <v>2693</v>
      </c>
      <c r="B14" s="3296"/>
      <c r="C14" s="3290"/>
      <c r="D14" s="3286"/>
      <c r="E14" s="3286"/>
      <c r="F14" s="3287"/>
    </row>
    <row r="15" spans="1:6">
      <c r="A15" s="3288" t="s">
        <v>2694</v>
      </c>
      <c r="B15" s="3291" t="e">
        <f>ROUND(B14*F12/F11,2)</f>
        <v>#DIV/0!</v>
      </c>
      <c r="C15" s="3291" t="e">
        <f>ROUND(F12/F11,4)</f>
        <v>#DIV/0!</v>
      </c>
      <c r="D15" s="3286"/>
      <c r="E15" s="3286"/>
      <c r="F15" s="3287"/>
    </row>
    <row r="16" spans="1:6">
      <c r="A16" s="3288" t="s">
        <v>2695</v>
      </c>
      <c r="B16" s="3291"/>
      <c r="C16" s="3290"/>
      <c r="D16" s="3286"/>
      <c r="E16" s="3286"/>
      <c r="F16" s="3287"/>
    </row>
    <row r="17" spans="1:7">
      <c r="A17" s="3288" t="s">
        <v>2694</v>
      </c>
      <c r="B17" s="3297"/>
      <c r="C17" s="3290"/>
      <c r="D17" s="3286"/>
      <c r="E17" s="3286"/>
      <c r="F17" s="3287"/>
    </row>
    <row r="18" spans="1:7" ht="15" thickBot="1">
      <c r="A18" s="3299" t="s">
        <v>2693</v>
      </c>
      <c r="B18" s="3300" t="e">
        <f>ROUND(B17*F11/F12,2)</f>
        <v>#DIV/0!</v>
      </c>
      <c r="C18" s="3300" t="e">
        <f>ROUND(F11/F12,4)</f>
        <v>#DIV/0!</v>
      </c>
      <c r="D18" s="3301"/>
      <c r="E18" s="3301"/>
      <c r="F18" s="3302"/>
    </row>
    <row r="19" spans="1:7" ht="15" thickBot="1"/>
    <row r="20" spans="1:7">
      <c r="A20" s="3303" t="s">
        <v>2696</v>
      </c>
      <c r="B20" s="3304"/>
      <c r="C20" s="3304"/>
      <c r="D20" s="3304"/>
      <c r="E20" s="3304"/>
      <c r="F20" s="3304"/>
      <c r="G20" s="3305"/>
    </row>
    <row r="21" spans="1:7">
      <c r="A21" s="3306"/>
      <c r="B21" s="3307" t="s">
        <v>2697</v>
      </c>
      <c r="C21" s="3307" t="s">
        <v>2698</v>
      </c>
      <c r="D21" s="3307" t="s">
        <v>2699</v>
      </c>
      <c r="E21" s="3307" t="s">
        <v>2700</v>
      </c>
      <c r="F21" s="3307" t="s">
        <v>2701</v>
      </c>
      <c r="G21" s="3308" t="s">
        <v>2702</v>
      </c>
    </row>
    <row r="22" spans="1:7">
      <c r="A22" s="3306" t="s">
        <v>2703</v>
      </c>
      <c r="B22" s="3309">
        <v>50</v>
      </c>
      <c r="C22" s="3309">
        <v>32</v>
      </c>
      <c r="D22" s="3310">
        <v>0.05</v>
      </c>
      <c r="E22" s="3307">
        <f>ROUND(POWER(1+D22,B22-C22)*(POWER(1+D22,C22)-1)/(POWER(1+D22,B22)-1),3)</f>
        <v>0.86599999999999999</v>
      </c>
      <c r="F22" s="3310">
        <v>0.6</v>
      </c>
      <c r="G22" s="3308">
        <f>ROUND(100*(1-(1-E22)*F22),1)</f>
        <v>92</v>
      </c>
    </row>
    <row r="23" spans="1:7">
      <c r="A23" s="3311" t="s">
        <v>2704</v>
      </c>
      <c r="B23" s="3309">
        <v>50</v>
      </c>
      <c r="C23" s="3309">
        <v>35</v>
      </c>
      <c r="D23" s="3310">
        <v>0.05</v>
      </c>
      <c r="E23" s="3307">
        <f>ROUND(POWER(1+D23,B23-C23)*(POWER(1+D23,C23)-1)/(POWER(1+D23,B23)-1),3)</f>
        <v>0.89700000000000002</v>
      </c>
      <c r="F23" s="3310">
        <f>F22</f>
        <v>0.6</v>
      </c>
      <c r="G23" s="3308">
        <f>ROUND(100*(1-(1-E23)*F23),1)</f>
        <v>93.8</v>
      </c>
    </row>
    <row r="24" spans="1:7">
      <c r="A24" s="3311" t="s">
        <v>2705</v>
      </c>
      <c r="B24" s="3309">
        <v>50</v>
      </c>
      <c r="C24" s="3309">
        <v>25</v>
      </c>
      <c r="D24" s="3310">
        <v>0.05</v>
      </c>
      <c r="E24" s="3307">
        <f>ROUND(POWER(1+D24,B24-C24)*(POWER(1+D24,C24)-1)/(POWER(1+D24,B24)-1),3)</f>
        <v>0.77200000000000002</v>
      </c>
      <c r="F24" s="3310">
        <f>F23</f>
        <v>0.6</v>
      </c>
      <c r="G24" s="3308">
        <f>ROUND(100*(1-(1-E24)*F24),1)</f>
        <v>86.3</v>
      </c>
    </row>
    <row r="25" spans="1:7">
      <c r="A25" s="3311" t="s">
        <v>2706</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2707</v>
      </c>
      <c r="B27" s="3316"/>
      <c r="C27" s="3316"/>
      <c r="D27" s="3316"/>
      <c r="E27" s="3316"/>
      <c r="F27" s="3316"/>
      <c r="G27" s="3317"/>
    </row>
    <row r="28" spans="1:7">
      <c r="A28" s="3315" t="s">
        <v>2708</v>
      </c>
      <c r="B28" s="3316"/>
      <c r="C28" s="3316"/>
      <c r="D28" s="3316"/>
      <c r="E28" s="3316"/>
      <c r="F28" s="3316"/>
      <c r="G28" s="3317"/>
    </row>
    <row r="29" spans="1:7">
      <c r="A29" s="3315" t="s">
        <v>2709</v>
      </c>
      <c r="B29" s="3316"/>
      <c r="C29" s="3316"/>
      <c r="D29" s="3316"/>
      <c r="E29" s="3316"/>
      <c r="F29" s="3316"/>
      <c r="G29" s="3317"/>
    </row>
    <row r="30" spans="1:7">
      <c r="A30" s="3315" t="s">
        <v>2710</v>
      </c>
      <c r="B30" s="3316"/>
      <c r="C30" s="3316"/>
      <c r="D30" s="3316"/>
      <c r="E30" s="3316"/>
      <c r="F30" s="3316"/>
      <c r="G30" s="3317"/>
    </row>
    <row r="31" spans="1:7">
      <c r="A31" s="3315" t="s">
        <v>2711</v>
      </c>
      <c r="B31" s="3316"/>
      <c r="C31" s="3316"/>
      <c r="D31" s="3316"/>
      <c r="E31" s="3316"/>
      <c r="F31" s="3316"/>
      <c r="G31" s="3317"/>
    </row>
    <row r="32" spans="1:7">
      <c r="A32" s="3315" t="s">
        <v>2712</v>
      </c>
      <c r="B32" s="3316"/>
      <c r="C32" s="3316"/>
      <c r="D32" s="3316"/>
      <c r="E32" s="3316"/>
      <c r="F32" s="3316"/>
      <c r="G32" s="3317"/>
    </row>
    <row r="33" spans="1:7">
      <c r="A33" s="3315" t="s">
        <v>2713</v>
      </c>
      <c r="B33" s="3316"/>
      <c r="C33" s="3316"/>
      <c r="D33" s="3316"/>
      <c r="E33" s="3316"/>
      <c r="F33" s="3316"/>
      <c r="G33" s="3317"/>
    </row>
    <row r="34" spans="1:7">
      <c r="A34" s="3315" t="s">
        <v>2714</v>
      </c>
      <c r="B34" s="3316"/>
      <c r="C34" s="3316"/>
      <c r="D34" s="3316"/>
      <c r="E34" s="3316"/>
      <c r="F34" s="3316"/>
      <c r="G34" s="3317"/>
    </row>
    <row r="35" spans="1:7">
      <c r="A35" s="3315" t="s">
        <v>2715</v>
      </c>
      <c r="B35" s="3316"/>
      <c r="C35" s="3316"/>
      <c r="D35" s="3316"/>
      <c r="E35" s="3316"/>
      <c r="F35" s="3316"/>
      <c r="G35" s="3317"/>
    </row>
    <row r="36" spans="1:7">
      <c r="A36" s="3315" t="s">
        <v>2716</v>
      </c>
      <c r="B36" s="3316"/>
      <c r="C36" s="3316"/>
      <c r="D36" s="3316"/>
      <c r="E36" s="3316"/>
      <c r="F36" s="3316"/>
      <c r="G36" s="3317"/>
    </row>
    <row r="37" spans="1:7">
      <c r="A37" s="3315" t="s">
        <v>2717</v>
      </c>
      <c r="B37" s="3316"/>
      <c r="C37" s="3316"/>
      <c r="D37" s="3316"/>
      <c r="E37" s="3316"/>
      <c r="F37" s="3316"/>
      <c r="G37" s="3317"/>
    </row>
    <row r="38" spans="1:7">
      <c r="A38" s="3315" t="s">
        <v>2718</v>
      </c>
      <c r="B38" s="3316"/>
      <c r="C38" s="3316"/>
      <c r="D38" s="3316"/>
      <c r="E38" s="3316"/>
      <c r="F38" s="3316"/>
      <c r="G38" s="3317"/>
    </row>
    <row r="39" spans="1:7">
      <c r="A39" s="3315"/>
      <c r="B39" s="3316"/>
      <c r="C39" s="3316"/>
      <c r="D39" s="3316"/>
      <c r="E39" s="3316"/>
      <c r="F39" s="3316"/>
      <c r="G39" s="3317"/>
    </row>
    <row r="40" spans="1:7">
      <c r="A40" s="3318" t="s">
        <v>2719</v>
      </c>
      <c r="B40" s="3319"/>
      <c r="C40" s="3319"/>
      <c r="D40" s="3319"/>
      <c r="E40" s="3319"/>
      <c r="F40" s="3319"/>
      <c r="G40" s="3320"/>
    </row>
    <row r="41" spans="1:7">
      <c r="A41" s="3321" t="s">
        <v>2720</v>
      </c>
      <c r="B41" s="3322" t="s">
        <v>2721</v>
      </c>
      <c r="C41" s="3323" t="s">
        <v>2722</v>
      </c>
      <c r="D41" s="3323" t="s">
        <v>2723</v>
      </c>
      <c r="E41" s="3324"/>
      <c r="F41" s="3325"/>
      <c r="G41" s="3326"/>
    </row>
    <row r="42" spans="1:7">
      <c r="A42" s="3321" t="s">
        <v>2724</v>
      </c>
      <c r="B42" s="3322" t="s">
        <v>2725</v>
      </c>
      <c r="C42" s="3323" t="s">
        <v>2725</v>
      </c>
      <c r="D42" s="3327" t="s">
        <v>2726</v>
      </c>
      <c r="E42" s="3319" t="s">
        <v>2727</v>
      </c>
      <c r="F42" s="3319"/>
      <c r="G42" s="3320"/>
    </row>
    <row r="43" spans="1:7">
      <c r="A43" s="3321" t="s">
        <v>2728</v>
      </c>
      <c r="B43" s="3322" t="s">
        <v>2729</v>
      </c>
      <c r="C43" s="3323" t="s">
        <v>2730</v>
      </c>
      <c r="D43" s="3323" t="s">
        <v>2731</v>
      </c>
      <c r="E43" s="3324" t="s">
        <v>2732</v>
      </c>
      <c r="F43" s="3325"/>
      <c r="G43" s="3326"/>
    </row>
    <row r="44" spans="1:7">
      <c r="A44" s="3321" t="s">
        <v>2733</v>
      </c>
      <c r="B44" s="3322" t="s">
        <v>2734</v>
      </c>
      <c r="C44" s="3323" t="s">
        <v>2735</v>
      </c>
      <c r="D44" s="3327">
        <v>0.5</v>
      </c>
      <c r="E44" s="3324" t="s">
        <v>2736</v>
      </c>
      <c r="F44" s="3325"/>
      <c r="G44" s="3326"/>
    </row>
    <row r="45" spans="1:7" ht="15" thickBot="1">
      <c r="A45" s="3328" t="s">
        <v>2737</v>
      </c>
      <c r="B45" s="3329" t="s">
        <v>2725</v>
      </c>
      <c r="C45" s="3330" t="s">
        <v>2725</v>
      </c>
      <c r="D45" s="3330" t="s">
        <v>2738</v>
      </c>
      <c r="E45" s="3331" t="s">
        <v>2739</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O35" sqref="O35"/>
    </sheetView>
  </sheetViews>
  <sheetFormatPr defaultColWidth="10" defaultRowHeight="15.6"/>
  <cols>
    <col min="1" max="1" width="15.33203125" style="1486" customWidth="1"/>
    <col min="2" max="2" width="11.33203125" style="1486" customWidth="1"/>
    <col min="3" max="7" width="13.109375" style="1486" customWidth="1"/>
    <col min="8" max="8" width="19" style="1486" customWidth="1"/>
    <col min="9" max="9" width="13.10937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6.2" thickBot="1">
      <c r="A1" s="1461" t="s">
        <v>1457</v>
      </c>
      <c r="B1" s="3772" t="str">
        <f>IF(B10="北京市","北京市",C10)&amp;F10&amp;A17&amp;"国有建设用地使用权"&amp;B9&amp;"预评估"</f>
        <v>北京市出让国有建设用地使用权市场价格预评估</v>
      </c>
      <c r="C1" s="3773"/>
      <c r="D1" s="3773"/>
      <c r="E1" s="3773"/>
      <c r="F1" s="3773"/>
      <c r="G1" s="3773"/>
      <c r="H1" s="3773"/>
      <c r="I1" s="3774"/>
      <c r="J1" s="2815"/>
      <c r="K1" s="2106" t="str">
        <f>IF(B10="北京市","北京市",C10)&amp;F10&amp;A17&amp;"国有建设用地使用权"&amp;B9</f>
        <v>北京市出让国有建设用地使用权市场价格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北京市出让国有建设用地使用权</v>
      </c>
      <c r="L2" s="2794"/>
      <c r="M2" s="2794"/>
      <c r="N2" s="2795"/>
      <c r="O2" s="2796"/>
      <c r="P2" s="2795"/>
      <c r="Q2" s="2795"/>
      <c r="R2" s="2795"/>
      <c r="S2" s="2795"/>
      <c r="T2" s="2795"/>
      <c r="U2" s="2795"/>
    </row>
    <row r="3" spans="1:21">
      <c r="A3" s="1463" t="s">
        <v>1459</v>
      </c>
      <c r="B3" s="1464"/>
      <c r="C3" s="2738" t="s">
        <v>1513</v>
      </c>
      <c r="D3" s="1464">
        <v>45597</v>
      </c>
      <c r="E3" s="2815"/>
      <c r="F3" s="2815"/>
      <c r="G3" s="2815"/>
      <c r="H3" s="2816"/>
      <c r="I3" s="2817"/>
      <c r="J3" s="2815"/>
      <c r="K3" s="2798"/>
      <c r="L3" s="2794"/>
      <c r="M3" s="2794"/>
      <c r="N3" s="2795"/>
      <c r="O3" s="2796"/>
      <c r="P3" s="2795"/>
      <c r="Q3" s="2795"/>
      <c r="R3" s="2795"/>
      <c r="S3" s="2795"/>
      <c r="T3" s="2795"/>
      <c r="U3" s="2795"/>
    </row>
    <row r="4" spans="1:21" ht="31.8"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7.6">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2745</v>
      </c>
      <c r="C8" s="1473"/>
      <c r="D8" s="3778" t="s">
        <v>1464</v>
      </c>
      <c r="E8" s="1627"/>
      <c r="F8" s="1474"/>
      <c r="G8" s="2816"/>
      <c r="H8" s="2816"/>
      <c r="I8" s="2819"/>
      <c r="J8" s="2815"/>
      <c r="K8" s="2798"/>
      <c r="L8" s="2794"/>
      <c r="M8" s="2794"/>
      <c r="N8" s="2795"/>
      <c r="O8" s="2796"/>
      <c r="P8" s="2795"/>
      <c r="Q8" s="2795"/>
      <c r="R8" s="2795"/>
      <c r="S8" s="2795"/>
      <c r="T8" s="2795"/>
      <c r="U8" s="2795"/>
    </row>
    <row r="9" spans="1:21" ht="16.2" thickBot="1">
      <c r="A9" s="2740" t="s">
        <v>1463</v>
      </c>
      <c r="B9" s="1475" t="s">
        <v>3265</v>
      </c>
      <c r="C9" s="1476"/>
      <c r="D9" s="3779"/>
      <c r="E9" s="1475"/>
      <c r="F9" s="1535"/>
      <c r="G9" s="2820"/>
      <c r="H9" s="2820"/>
      <c r="I9" s="2821"/>
      <c r="J9" s="2815"/>
      <c r="K9" s="2798"/>
      <c r="L9" s="2794"/>
      <c r="M9" s="2794"/>
      <c r="N9" s="2795"/>
      <c r="O9" s="2796"/>
      <c r="P9" s="2795"/>
      <c r="Q9" s="2795"/>
      <c r="R9" s="2795"/>
      <c r="S9" s="2795"/>
      <c r="T9" s="2795"/>
      <c r="U9" s="2795"/>
    </row>
    <row r="10" spans="1:21" ht="31.8" thickTop="1">
      <c r="A10" s="2741" t="s">
        <v>1517</v>
      </c>
      <c r="B10" s="1512" t="s">
        <v>1465</v>
      </c>
      <c r="C10" s="1477" t="s">
        <v>3350</v>
      </c>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3266</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75"/>
      <c r="C12" s="3776"/>
      <c r="D12" s="3777"/>
      <c r="E12" s="1493" t="s">
        <v>1579</v>
      </c>
      <c r="F12" s="3793" t="s">
        <v>2163</v>
      </c>
      <c r="G12" s="3794"/>
      <c r="H12" s="3794"/>
      <c r="I12" s="3795"/>
      <c r="J12" s="2815"/>
      <c r="K12" s="2798"/>
      <c r="L12" s="2794"/>
      <c r="M12" s="2794"/>
      <c r="N12" s="2795"/>
      <c r="O12" s="2796"/>
      <c r="P12" s="2795"/>
      <c r="Q12" s="2795"/>
      <c r="R12" s="2795"/>
      <c r="S12" s="2795"/>
      <c r="T12" s="2795"/>
      <c r="U12" s="2795"/>
    </row>
    <row r="13" spans="1:21">
      <c r="A13" s="1484" t="s">
        <v>1577</v>
      </c>
      <c r="B13" s="3775"/>
      <c r="C13" s="3776"/>
      <c r="D13" s="3777"/>
      <c r="E13" s="1493" t="s">
        <v>1579</v>
      </c>
      <c r="F13" s="3793" t="s">
        <v>2164</v>
      </c>
      <c r="G13" s="3794"/>
      <c r="H13" s="3794"/>
      <c r="I13" s="3795"/>
      <c r="J13" s="2815"/>
      <c r="K13" s="2798"/>
      <c r="L13" s="2794"/>
      <c r="M13" s="2794"/>
      <c r="N13" s="2795"/>
      <c r="O13" s="2796"/>
      <c r="P13" s="2795"/>
      <c r="Q13" s="2795"/>
      <c r="R13" s="2795"/>
      <c r="S13" s="2795"/>
      <c r="T13" s="2795"/>
      <c r="U13" s="2795"/>
    </row>
    <row r="14" spans="1:21">
      <c r="A14" s="1463" t="s">
        <v>1580</v>
      </c>
      <c r="B14" s="1493"/>
      <c r="C14" s="1628" t="s">
        <v>3267</v>
      </c>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ht="46.8">
      <c r="A16" s="2743" t="s">
        <v>1467</v>
      </c>
      <c r="B16" s="1493" t="s">
        <v>1468</v>
      </c>
      <c r="C16" s="3280"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工业2047年10月27日</v>
      </c>
      <c r="T16" s="1493" t="str">
        <f>IF(OR(S16="",U16=""),"","、")</f>
        <v/>
      </c>
      <c r="U16" s="2107" t="str">
        <f>IF(I17="","",I16&amp;TEXT(I17,"yyyy年m月d日;;"))</f>
        <v/>
      </c>
    </row>
    <row r="17" spans="1:21">
      <c r="A17" s="3334" t="s">
        <v>2745</v>
      </c>
      <c r="B17" s="2744" t="s">
        <v>1473</v>
      </c>
      <c r="C17" s="3333"/>
      <c r="D17" s="3333"/>
      <c r="E17" s="3333"/>
      <c r="F17" s="3333"/>
      <c r="G17" s="3333"/>
      <c r="H17" s="3333">
        <v>53992</v>
      </c>
      <c r="I17" s="3333"/>
      <c r="J17" s="2815"/>
      <c r="K17" s="2793" t="str">
        <f>CONCATENATE(K16,L16,M16,N16,O16,P16,Q16,R16,S16,T16,,U16)</f>
        <v>工业2047年10月27日</v>
      </c>
      <c r="L17" s="2794"/>
      <c r="M17" s="2794"/>
      <c r="N17" s="2795"/>
      <c r="O17" s="2796"/>
      <c r="P17" s="2795"/>
      <c r="Q17" s="2795"/>
      <c r="R17" s="2795"/>
      <c r="S17" s="2795"/>
      <c r="T17" s="2795"/>
      <c r="U17" s="2795"/>
    </row>
    <row r="18" spans="1:21">
      <c r="A18" s="1551"/>
      <c r="B18" s="2744" t="s">
        <v>1474</v>
      </c>
      <c r="C18" s="1481"/>
      <c r="D18" s="1481"/>
      <c r="E18" s="1481"/>
      <c r="F18" s="1481"/>
      <c r="G18" s="1481">
        <v>50</v>
      </c>
      <c r="H18" s="1481">
        <v>50</v>
      </c>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t="str">
        <f>IF(A17="出让",IF(D17="","",ROUNDDOWN(MIN((D17-$D$3)/365,D18),2)),D18)</f>
        <v/>
      </c>
      <c r="E19" s="1482" t="str">
        <f>IF(A17="出让",IF(E17="","",ROUNDDOWN(MIN((E17-$D$3)/365,E18),2)),E18)</f>
        <v/>
      </c>
      <c r="F19" s="1482" t="str">
        <f>IF(A17="出让",IF(F17="","",ROUNDDOWN(MIN((F17-$D$3)/365,F18),2)),F18)</f>
        <v/>
      </c>
      <c r="G19" s="1482" t="str">
        <f>IF(A17="出让",IF(G17="","",ROUNDDOWN(MIN((G17-$D$3)/365,G18),2)),G18)</f>
        <v/>
      </c>
      <c r="H19" s="1482">
        <f>IF(A17="出让",IF(H17="","",ROUNDDOWN(MIN((H17-$D$3)/365,H18),2)),H18)</f>
        <v>23</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90"/>
      <c r="E20" s="3791"/>
      <c r="F20" s="3791"/>
      <c r="G20" s="3791"/>
      <c r="H20" s="3791"/>
      <c r="I20" s="3792"/>
      <c r="J20" s="2815"/>
      <c r="K20" s="2798"/>
      <c r="L20" s="2794"/>
      <c r="M20" s="2794"/>
      <c r="N20" s="2795"/>
      <c r="O20" s="2796"/>
      <c r="P20" s="2795"/>
      <c r="Q20" s="2795"/>
      <c r="R20" s="2795"/>
      <c r="S20" s="2795"/>
      <c r="T20" s="2795"/>
      <c r="U20" s="2795"/>
    </row>
    <row r="21" spans="1:21">
      <c r="A21" s="1551" t="s">
        <v>1476</v>
      </c>
      <c r="B21" s="1552" t="s">
        <v>1477</v>
      </c>
      <c r="C21" s="1547">
        <f>'数据-汇总表'!E3</f>
        <v>76200</v>
      </c>
      <c r="D21" s="1548" t="s">
        <v>1478</v>
      </c>
      <c r="E21" s="3780" t="s">
        <v>1516</v>
      </c>
      <c r="F21" s="3781"/>
      <c r="G21" s="3781"/>
      <c r="H21" s="3781"/>
      <c r="I21" s="3782"/>
      <c r="J21" s="2815"/>
      <c r="K21" s="2798"/>
      <c r="L21" s="2794"/>
      <c r="M21" s="2794"/>
      <c r="N21" s="2795"/>
      <c r="O21" s="2796"/>
      <c r="P21" s="2795"/>
      <c r="Q21" s="2795"/>
      <c r="R21" s="2795"/>
      <c r="S21" s="2795"/>
      <c r="T21" s="2795"/>
      <c r="U21" s="2795"/>
    </row>
    <row r="22" spans="1:21">
      <c r="A22" s="2555" t="s">
        <v>877</v>
      </c>
      <c r="B22" s="1463" t="s">
        <v>1479</v>
      </c>
      <c r="C22" s="1483">
        <f>'数据-汇总表'!D3</f>
        <v>76200</v>
      </c>
      <c r="D22" s="1484" t="s">
        <v>1478</v>
      </c>
      <c r="E22" s="3780" t="s">
        <v>2165</v>
      </c>
      <c r="F22" s="3781"/>
      <c r="G22" s="3781"/>
      <c r="H22" s="3781"/>
      <c r="I22" s="3782"/>
      <c r="J22" s="2815"/>
      <c r="K22" s="2798"/>
      <c r="L22" s="2794"/>
      <c r="M22" s="2794"/>
      <c r="N22" s="2795"/>
      <c r="O22" s="2796"/>
      <c r="P22" s="2795"/>
      <c r="Q22" s="2795"/>
      <c r="R22" s="2795"/>
      <c r="S22" s="2795"/>
      <c r="T22" s="2795"/>
      <c r="U22" s="2795"/>
    </row>
    <row r="23" spans="1:21" ht="47.4"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83" t="s">
        <v>1484</v>
      </c>
      <c r="C24" s="3784"/>
      <c r="D24" s="3785" t="s">
        <v>1485</v>
      </c>
      <c r="E24" s="3786"/>
      <c r="F24" s="1501" t="s">
        <v>1486</v>
      </c>
      <c r="G24" s="2815"/>
      <c r="H24" s="2815"/>
      <c r="I24" s="2819"/>
      <c r="J24" s="2815"/>
      <c r="K24" s="3771"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31.2">
      <c r="A25" s="1539"/>
      <c r="B25" s="1536" t="s">
        <v>1682</v>
      </c>
      <c r="C25" s="1502" t="s">
        <v>1488</v>
      </c>
      <c r="D25" s="1503"/>
      <c r="E25" s="1504" t="s">
        <v>877</v>
      </c>
      <c r="F25" s="1505"/>
      <c r="G25" s="2815"/>
      <c r="H25" s="2815"/>
      <c r="I25" s="2819"/>
      <c r="J25" s="2815"/>
      <c r="K25" s="3771"/>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47.4" thickBot="1">
      <c r="A26" s="1540"/>
      <c r="B26" s="1537" t="s">
        <v>1489</v>
      </c>
      <c r="C26" s="1502" t="s">
        <v>1683</v>
      </c>
      <c r="D26" s="2816"/>
      <c r="E26" s="2816"/>
      <c r="F26" s="2822"/>
      <c r="G26" s="2815"/>
      <c r="H26" s="2815"/>
      <c r="I26" s="2819"/>
      <c r="J26" s="2815"/>
      <c r="K26" s="3771"/>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6.2"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6.2" thickTop="1">
      <c r="A31" s="3757" t="s">
        <v>1519</v>
      </c>
      <c r="B31" s="1552" t="s">
        <v>1520</v>
      </c>
      <c r="C31" s="3796"/>
      <c r="D31" s="3797"/>
      <c r="E31" s="2815"/>
      <c r="F31" s="2815"/>
      <c r="G31" s="2815"/>
      <c r="H31" s="2815"/>
      <c r="I31" s="2819"/>
      <c r="J31" s="2815"/>
      <c r="K31" s="2801"/>
      <c r="L31" s="2795"/>
      <c r="M31" s="2795"/>
      <c r="N31" s="2795"/>
      <c r="O31" s="2795"/>
      <c r="P31" s="2795"/>
      <c r="Q31" s="2795"/>
      <c r="R31" s="2795"/>
      <c r="S31" s="2795"/>
      <c r="T31" s="2795"/>
      <c r="U31" s="2795"/>
    </row>
    <row r="32" spans="1:21">
      <c r="A32" s="3757"/>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7"/>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8"/>
      <c r="B34" s="1463" t="s">
        <v>1523</v>
      </c>
      <c r="C34" s="3759"/>
      <c r="D34" s="3760"/>
      <c r="E34" s="2815"/>
      <c r="F34" s="2815"/>
      <c r="G34" s="2815"/>
      <c r="H34" s="2815"/>
      <c r="I34" s="2819"/>
      <c r="J34" s="2815"/>
      <c r="K34" s="2801"/>
      <c r="L34" s="2795"/>
      <c r="M34" s="2795"/>
      <c r="N34" s="2795"/>
      <c r="O34" s="2795"/>
      <c r="P34" s="2795"/>
      <c r="Q34" s="2795"/>
      <c r="R34" s="2795"/>
      <c r="S34" s="2795"/>
      <c r="T34" s="2795"/>
      <c r="U34" s="2795"/>
    </row>
    <row r="35" spans="1:28">
      <c r="A35" s="3761" t="s">
        <v>785</v>
      </c>
      <c r="B35" s="1515"/>
      <c r="C35" s="1561" t="str">
        <f>IF(B35="场地平整","——","具体情况：")</f>
        <v>具体情况：</v>
      </c>
      <c r="D35" s="3763"/>
      <c r="E35" s="3764"/>
      <c r="F35" s="3764"/>
      <c r="G35" s="3764"/>
      <c r="H35" s="3764"/>
      <c r="I35" s="3765"/>
      <c r="J35" s="2815"/>
      <c r="K35" s="2802"/>
      <c r="L35" s="2794"/>
      <c r="M35" s="2794"/>
      <c r="N35" s="2795"/>
      <c r="O35" s="2796"/>
      <c r="P35" s="2795"/>
      <c r="Q35" s="2795"/>
      <c r="R35" s="2795"/>
      <c r="S35" s="2795"/>
      <c r="T35" s="2795"/>
      <c r="U35" s="2795"/>
    </row>
    <row r="36" spans="1:28">
      <c r="A36" s="3757"/>
      <c r="B36" s="3766" t="s">
        <v>1572</v>
      </c>
      <c r="C36" s="3767"/>
      <c r="D36" s="1577"/>
      <c r="E36" s="3768"/>
      <c r="F36" s="3768"/>
      <c r="G36" s="1484" t="str">
        <f>IF(B35="场地未平整","估价结果处理","")</f>
        <v/>
      </c>
      <c r="H36" s="3769"/>
      <c r="I36" s="3769"/>
      <c r="J36" s="2815"/>
      <c r="K36" s="2802"/>
      <c r="L36" s="2794"/>
      <c r="M36" s="2794"/>
      <c r="N36" s="2795"/>
      <c r="O36" s="2796"/>
      <c r="P36" s="2795"/>
      <c r="Q36" s="2795"/>
      <c r="R36" s="2795"/>
      <c r="S36" s="2795"/>
      <c r="T36" s="2795"/>
      <c r="U36" s="2795"/>
    </row>
    <row r="37" spans="1:28" ht="31.2">
      <c r="A37" s="3757"/>
      <c r="B37" s="3787"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7"/>
      <c r="B38" s="3788"/>
      <c r="C38" s="1471" t="s">
        <v>788</v>
      </c>
      <c r="D38" s="1576">
        <f>ROUNDDOWN(MIN(('数据-取费表'!$B$2-D37)/365,D34),1)</f>
        <v>124.9</v>
      </c>
      <c r="E38" s="1520" t="s">
        <v>789</v>
      </c>
      <c r="F38" s="2815"/>
      <c r="G38" s="2815"/>
      <c r="H38" s="2815"/>
      <c r="I38" s="2819"/>
      <c r="J38" s="2815"/>
      <c r="K38" s="2802"/>
      <c r="L38" s="2795"/>
      <c r="M38" s="2795"/>
      <c r="N38" s="2795"/>
      <c r="O38" s="2795"/>
      <c r="P38" s="2795"/>
      <c r="Q38" s="2795"/>
      <c r="R38" s="2795"/>
      <c r="S38" s="2795"/>
      <c r="T38" s="2795"/>
      <c r="U38" s="2795"/>
    </row>
    <row r="39" spans="1:28">
      <c r="A39" s="3758"/>
      <c r="B39" s="3789"/>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70" t="s">
        <v>1503</v>
      </c>
      <c r="T40" s="1524" t="str">
        <f>NUMBERSTRING(7-K40,1)&amp;"通"</f>
        <v>七通</v>
      </c>
      <c r="U40" s="2795"/>
    </row>
    <row r="41" spans="1:28" ht="31.2">
      <c r="A41" s="1465"/>
      <c r="B41" s="3762" t="s">
        <v>1250</v>
      </c>
      <c r="C41" s="3762"/>
      <c r="D41" s="3762"/>
      <c r="E41" s="3762"/>
      <c r="F41" s="1525" t="str">
        <f>C10</f>
        <v>昌平区北七家八仙庄</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70"/>
      <c r="T41" s="1526" t="str">
        <f>IF(T40="一通",L41,IF(T40="二通",M41,IF(T40="三通",N41,IF(T40="四通",O41,IF(T40="五通",P41,IF(T40="六通",Q41,R41))))))</f>
        <v>、、、、、、</v>
      </c>
      <c r="U41" s="2795"/>
    </row>
    <row r="42" spans="1:28">
      <c r="A42" s="1528"/>
      <c r="B42" s="1554" t="s">
        <v>1422</v>
      </c>
      <c r="C42" s="1554" t="s">
        <v>1423</v>
      </c>
      <c r="D42" s="1554" t="s">
        <v>1424</v>
      </c>
      <c r="E42" s="3280" t="s">
        <v>2746</v>
      </c>
      <c r="F42" s="3280"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1137</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4.55468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5"/>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76200</v>
      </c>
      <c r="B3" s="20">
        <f>IF(C3="否",G5-AT5,G5)</f>
        <v>76200</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1"/>
      <c r="C5" s="951"/>
      <c r="D5" s="958"/>
      <c r="E5" s="25" t="s">
        <v>0</v>
      </c>
      <c r="F5" s="25">
        <f>SUM(F13:F572)</f>
        <v>0</v>
      </c>
      <c r="G5" s="25">
        <f>SUM(G13:G572)</f>
        <v>76200</v>
      </c>
      <c r="H5" s="25">
        <f t="shared" ref="H5:AT5" si="0">SUM(H13:H641)</f>
        <v>76200</v>
      </c>
      <c r="I5" s="25">
        <f t="shared" si="0"/>
        <v>76200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76200</v>
      </c>
      <c r="BA5" s="27">
        <f t="shared" si="1"/>
        <v>76200</v>
      </c>
      <c r="BB5" s="27">
        <f t="shared" si="1"/>
        <v>76200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76200</v>
      </c>
      <c r="F6" s="25" t="s">
        <v>0</v>
      </c>
      <c r="G6" s="25" t="s">
        <v>1</v>
      </c>
      <c r="H6" s="31">
        <f>SUMIF(I$12:AB$12,"总值",I6:AB6)</f>
        <v>76200</v>
      </c>
      <c r="I6" s="25">
        <f t="shared" ref="I6:AB6" si="2">ROUND($A$3*I5/$B$3,2)</f>
        <v>76200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76200</v>
      </c>
      <c r="AZ6" s="25" t="s">
        <v>2</v>
      </c>
      <c r="BA6" s="25">
        <f>ROUND($AY$6*BA5/$AZ$5,2)</f>
        <v>76200</v>
      </c>
      <c r="BB6" s="25">
        <f>ROUND($AY$6*BB5/$AZ$5,2)</f>
        <v>76200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3352</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2744</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5"/>
      <c r="AQ11" s="1087"/>
      <c r="AR11" s="1085"/>
      <c r="AS11" s="1087"/>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3351</v>
      </c>
      <c r="E13" s="25">
        <f t="shared" ref="E13:E20" si="6">IF($C$3="是",ROUND($A$3*G13/$B$3,2),ROUND($A$3*(G13-AT13)/$B$3,2))</f>
        <v>76200</v>
      </c>
      <c r="F13" s="78"/>
      <c r="G13" s="79">
        <f t="shared" ref="G13:G20" si="7">H13+AC13+AT13</f>
        <v>76200</v>
      </c>
      <c r="H13" s="31">
        <f t="shared" ref="H13:H20" si="8">SUMIF(I$12:AB$12,"总值",I13:AB13)</f>
        <v>76200</v>
      </c>
      <c r="I13" s="2489">
        <f>A3</f>
        <v>76200</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76200</v>
      </c>
      <c r="AZ13" s="25">
        <f t="shared" ref="AZ13:AZ20" si="12">BA13+BL13</f>
        <v>76200</v>
      </c>
      <c r="BA13" s="25">
        <f t="shared" ref="BA13:BA20" si="13">SUM(BB13:BK13)</f>
        <v>76200</v>
      </c>
      <c r="BB13" s="25">
        <f t="shared" ref="BB13:BB20" si="14">IF($D13="是",I13-J13,0)</f>
        <v>76200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807" t="s">
        <v>169</v>
      </c>
      <c r="B2" s="3807"/>
      <c r="C2" s="3807"/>
      <c r="D2" s="1728" t="s">
        <v>170</v>
      </c>
      <c r="E2" s="102" t="s">
        <v>171</v>
      </c>
      <c r="F2" s="2824"/>
      <c r="G2" s="1095"/>
      <c r="H2" s="1096"/>
      <c r="I2" s="1097" t="s">
        <v>795</v>
      </c>
      <c r="J2" s="2824"/>
      <c r="K2" s="2824"/>
      <c r="L2" s="2824"/>
      <c r="M2" s="2824"/>
      <c r="N2" s="2824"/>
      <c r="O2" s="2824"/>
      <c r="P2" s="2824"/>
    </row>
    <row r="3" spans="1:16" ht="15" thickBot="1">
      <c r="A3" s="3808" t="s">
        <v>172</v>
      </c>
      <c r="B3" s="3808"/>
      <c r="C3" s="3808"/>
      <c r="D3" s="103">
        <f>'数据-基础表'!AY6</f>
        <v>76200</v>
      </c>
      <c r="E3" s="103">
        <f>'数据-基础表'!AZ5</f>
        <v>76200</v>
      </c>
      <c r="F3" s="2824"/>
      <c r="G3" s="271" t="s">
        <v>796</v>
      </c>
      <c r="H3" s="266" t="s">
        <v>797</v>
      </c>
      <c r="I3" s="1729">
        <f>ROUND('数据-基础表'!B3/'数据-基础表'!A3,2)</f>
        <v>1</v>
      </c>
      <c r="J3" s="2824"/>
      <c r="K3" s="2824"/>
      <c r="L3" s="2824"/>
      <c r="M3" s="2824"/>
      <c r="N3" s="2824"/>
      <c r="O3" s="2824"/>
      <c r="P3" s="2824"/>
    </row>
    <row r="4" spans="1:16" ht="14.4">
      <c r="A4" s="3809"/>
      <c r="B4" s="3810"/>
      <c r="C4" s="3811"/>
      <c r="D4" s="104" t="s">
        <v>170</v>
      </c>
      <c r="E4" s="105" t="s">
        <v>171</v>
      </c>
      <c r="F4" s="2824"/>
      <c r="G4" s="1098"/>
      <c r="H4" s="266" t="s">
        <v>798</v>
      </c>
      <c r="I4" s="1729">
        <f>ROUND(SUMIF('数据-基础表'!I9:AS9,"地上",'数据-基础表'!I5:AS5)/'数据-基础表'!A3,2)</f>
        <v>1</v>
      </c>
      <c r="J4" s="2824"/>
      <c r="K4" s="2824"/>
      <c r="L4" s="2824"/>
      <c r="M4" s="2824"/>
      <c r="N4" s="2824"/>
      <c r="O4" s="2824"/>
      <c r="P4" s="2824"/>
    </row>
    <row r="5" spans="1:16" ht="14.4">
      <c r="A5" s="106" t="s">
        <v>173</v>
      </c>
      <c r="B5" s="3812" t="s">
        <v>196</v>
      </c>
      <c r="C5" s="3812"/>
      <c r="D5" s="107">
        <f>ROUND($D$3*E5/$E$3,2)</f>
        <v>0</v>
      </c>
      <c r="E5" s="108">
        <f>SUMIF('数据-基础表'!$11:$11,"住宅",'数据-基础表'!$5:$5)</f>
        <v>0</v>
      </c>
      <c r="F5" s="2824"/>
      <c r="G5" s="271" t="s">
        <v>799</v>
      </c>
      <c r="H5" s="266" t="s">
        <v>797</v>
      </c>
      <c r="I5" s="1729">
        <f>ROUND(E31/D31,2)</f>
        <v>1</v>
      </c>
      <c r="J5" s="2824"/>
      <c r="K5" s="2824"/>
      <c r="L5" s="2824"/>
      <c r="M5" s="2824"/>
      <c r="N5" s="2824"/>
      <c r="O5" s="2824"/>
      <c r="P5" s="2824"/>
    </row>
    <row r="6" spans="1:16" ht="15" thickBot="1">
      <c r="A6" s="109"/>
      <c r="B6" s="3812" t="s">
        <v>174</v>
      </c>
      <c r="C6" s="3812"/>
      <c r="D6" s="107">
        <f>ROUND($D$3*E6/$E$3,2)</f>
        <v>76200</v>
      </c>
      <c r="E6" s="108">
        <f>E3-E5</f>
        <v>76200</v>
      </c>
      <c r="F6" s="2824"/>
      <c r="G6" s="1098"/>
      <c r="H6" s="266" t="s">
        <v>798</v>
      </c>
      <c r="I6" s="1729">
        <f>ROUND(F31/D31,2)</f>
        <v>1</v>
      </c>
      <c r="J6" s="2824"/>
      <c r="K6" s="2824"/>
      <c r="L6" s="2824"/>
      <c r="M6" s="2824"/>
      <c r="N6" s="2824"/>
      <c r="O6" s="2824"/>
      <c r="P6" s="2824"/>
    </row>
    <row r="7" spans="1:16" ht="14.4">
      <c r="A7" s="3804"/>
      <c r="B7" s="3805"/>
      <c r="C7" s="3806"/>
      <c r="D7" s="104" t="s">
        <v>170</v>
      </c>
      <c r="E7" s="110" t="s">
        <v>197</v>
      </c>
      <c r="F7" s="2824"/>
      <c r="G7" s="1054" t="s">
        <v>1180</v>
      </c>
      <c r="H7" s="1055"/>
      <c r="I7" s="1630"/>
      <c r="J7" s="2824"/>
      <c r="K7" s="2824"/>
      <c r="L7" s="2824"/>
      <c r="M7" s="2824"/>
      <c r="N7" s="2824"/>
      <c r="O7" s="2824"/>
      <c r="P7" s="2824"/>
    </row>
    <row r="8" spans="1:16" ht="14.4">
      <c r="A8" s="106" t="s">
        <v>175</v>
      </c>
      <c r="B8" s="111" t="s">
        <v>176</v>
      </c>
      <c r="C8" s="107" t="s">
        <v>177</v>
      </c>
      <c r="D8" s="107">
        <f t="shared" ref="D8:D15" si="0">ROUND($D$3*E8/$E$3,2)</f>
        <v>76200</v>
      </c>
      <c r="E8" s="112">
        <f>SUMIF('数据-基础表'!BB10:BK10,"地上",'数据-基础表'!BB5:BK5)</f>
        <v>76200</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76200</v>
      </c>
      <c r="E16" s="116">
        <f>SUM(E8:E15)</f>
        <v>76200</v>
      </c>
      <c r="F16" s="2824"/>
      <c r="G16" s="2825"/>
      <c r="H16" s="930" t="s">
        <v>185</v>
      </c>
      <c r="I16" s="931"/>
      <c r="J16" s="1737"/>
      <c r="K16" s="3798" t="s">
        <v>1849</v>
      </c>
      <c r="L16" s="3799"/>
      <c r="M16" s="3799"/>
      <c r="N16" s="3799"/>
      <c r="O16" s="3799"/>
      <c r="P16" s="3800"/>
    </row>
    <row r="17" spans="1:19" ht="14.4">
      <c r="A17" s="117" t="s">
        <v>182</v>
      </c>
      <c r="B17" s="118" t="s">
        <v>183</v>
      </c>
      <c r="C17" s="2015" t="s">
        <v>1670</v>
      </c>
      <c r="D17" s="104" t="s">
        <v>170</v>
      </c>
      <c r="E17" s="120" t="s">
        <v>171</v>
      </c>
      <c r="F17" s="121"/>
      <c r="G17" s="1224"/>
      <c r="H17" s="932" t="s">
        <v>184</v>
      </c>
      <c r="I17" s="933" t="s">
        <v>1669</v>
      </c>
      <c r="J17" s="1737"/>
      <c r="K17" s="3801" t="s">
        <v>1850</v>
      </c>
      <c r="L17" s="3802"/>
      <c r="M17" s="3803"/>
      <c r="N17" s="3801" t="s">
        <v>1851</v>
      </c>
      <c r="O17" s="3802"/>
      <c r="P17" s="3803"/>
      <c r="R17" s="2016" t="s">
        <v>1668</v>
      </c>
      <c r="S17" s="137"/>
    </row>
    <row r="18" spans="1:19" ht="14.4">
      <c r="A18" s="113"/>
      <c r="B18" s="124"/>
      <c r="C18" s="125"/>
      <c r="D18" s="2246"/>
      <c r="E18" s="126" t="s">
        <v>186</v>
      </c>
      <c r="F18" s="127" t="s">
        <v>187</v>
      </c>
      <c r="G18" s="1225"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3353</v>
      </c>
      <c r="D19" s="107">
        <f t="shared" ref="D19:D26" si="1">ROUND($D$3*E19/$E$3,2)</f>
        <v>76200</v>
      </c>
      <c r="E19" s="130">
        <f t="shared" ref="E19:E26" si="2">SUM(F19:G19)</f>
        <v>76200</v>
      </c>
      <c r="F19" s="2826">
        <f>'数据-基础表'!I13</f>
        <v>76200</v>
      </c>
      <c r="G19" s="2827"/>
      <c r="H19" s="936">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76200</v>
      </c>
      <c r="S19" s="2018">
        <f t="shared" si="5"/>
        <v>76200</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ht="14.4">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ht="14.4">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ht="14.4">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76200</v>
      </c>
      <c r="E27" s="136">
        <f>IF(SUM(E19:E26)='数据-基础表'!BA5,SUM(E19:E26),IF(F27="地上面积有误","面积有误","地下面积有误"))</f>
        <v>76200</v>
      </c>
      <c r="F27" s="130">
        <f>IF(SUM(F19:F26)=E8,SUM(F19:F26),"地上面积有误")</f>
        <v>76200</v>
      </c>
      <c r="G27" s="108">
        <f>SUM(G19:G26)</f>
        <v>0</v>
      </c>
      <c r="H27" s="937">
        <f>SUM(H19:H26)</f>
        <v>0</v>
      </c>
      <c r="I27" s="938">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76200</v>
      </c>
      <c r="S27" s="266">
        <f>IF(SUM(S19:S26)=$E$3,SUM(S19:S26),SUM(S19:S26)&amp;"误差"&amp;ROUND(SUM(S19:S26)-E3,2))</f>
        <v>76200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76200</v>
      </c>
      <c r="E31" s="1228">
        <f>E27+E30</f>
        <v>76200</v>
      </c>
      <c r="F31" s="1229">
        <f>F27+F30</f>
        <v>76200</v>
      </c>
      <c r="G31" s="1230">
        <f>G27+G30</f>
        <v>0</v>
      </c>
      <c r="H31" s="2824"/>
      <c r="I31" s="2824"/>
      <c r="J31" s="2824"/>
      <c r="K31" s="2824"/>
      <c r="L31" s="2824"/>
      <c r="M31" s="2824"/>
      <c r="N31" s="2824"/>
      <c r="O31" s="2824"/>
      <c r="P31" s="2824"/>
    </row>
    <row r="32" spans="1:19" ht="14.4">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S7" sqref="S7"/>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 thickBot="1">
      <c r="A2" s="142" t="s">
        <v>201</v>
      </c>
      <c r="B2" s="2055">
        <f>项目基本情况!D3</f>
        <v>45597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仓储</v>
      </c>
      <c r="B6" s="2054" t="str">
        <f>IF(A6=0,"","经营性")</f>
        <v>经营性</v>
      </c>
      <c r="C6" s="166" t="s">
        <v>2744</v>
      </c>
      <c r="D6" s="2025">
        <f>SUMIF(项目基本情况!C$15:I$15,C6,项目基本情况!C$18:I$18)</f>
        <v>50</v>
      </c>
      <c r="E6" s="2026">
        <f>IF(B6="","",SUMIF(项目基本情况!C$15:I$15,C6,项目基本情况!C$17:I$17))</f>
        <v>0</v>
      </c>
      <c r="F6" s="167">
        <f>SUMIF(项目基本情况!C$15:I$15,C6,项目基本情况!C$19:I$19)</f>
        <v>0</v>
      </c>
      <c r="G6" s="168">
        <f t="shared" ref="G6:G13" si="0">IF(ISERROR(ROUND(POWER(1+H6,D6-F6)*(POWER(1+H6,F6)-1)/(POWER(1+H6,D6)-1),3)),0,ROUND(POWER(1+H6,D6-F6)*(POWER(1+H6,F6)-1)/(POWER(1+H6,D6)-1),3))</f>
        <v>0</v>
      </c>
      <c r="H6" s="2497">
        <v>0.04</v>
      </c>
      <c r="I6" s="2497">
        <v>4.4999999999999998E-2</v>
      </c>
      <c r="J6" s="169">
        <v>0.05</v>
      </c>
      <c r="K6" s="172">
        <f>SUMIF('数据-汇总表'!C$19:C$33,'数据-取费表'!A6,'数据-汇总表'!E$19:E$33)</f>
        <v>76200</v>
      </c>
      <c r="L6" s="2498"/>
      <c r="M6" s="170">
        <f t="shared" ref="M6:M14" si="1">ROUND(K6*L6/10000,0)</f>
        <v>0</v>
      </c>
      <c r="N6" s="2499"/>
      <c r="O6" s="170">
        <f>IF($N$5="成新度","——",ROUND(M6*N6,0))</f>
        <v>0</v>
      </c>
      <c r="P6" s="171">
        <f>IF($N$5="成新度","——",M6-O6)</f>
        <v>0</v>
      </c>
      <c r="Q6" s="2500"/>
      <c r="R6" s="172">
        <f>SUMIF('数据-汇总表'!C$19:C$33,A6,'数据-汇总表'!R$19:R$33)</f>
        <v>76200</v>
      </c>
      <c r="S6" s="128">
        <f>IF('数据-汇总表'!$I$17="按面积比例",SUMIF('数据-汇总表'!C$19:C$33,A6,'数据-汇总表'!K$19:K$33),SUMIF('数据-汇总表'!C$19:C$33,A6,'数据-汇总表'!N$19:N$33))</f>
        <v>0</v>
      </c>
      <c r="T6" s="1951" t="str">
        <f>IF($T$4="按面积比例",IF(ISERROR(ROUND($M$14*S6/S$16,0)),"0",ROUND($M$14*S6/S$16,0)),"需自行计算录入")</f>
        <v>0</v>
      </c>
      <c r="U6" s="173"/>
      <c r="V6" s="174"/>
      <c r="W6" s="174"/>
      <c r="X6" s="2038"/>
      <c r="Y6" s="175"/>
      <c r="Z6" s="176"/>
      <c r="AA6" s="169"/>
      <c r="AB6" s="169"/>
      <c r="AC6" s="2041"/>
      <c r="AD6" s="177"/>
      <c r="AE6" s="934">
        <f ca="1">IF(AN6="",0,SUMIF(INDIRECT("'"&amp;AN6&amp;"'"&amp;"!E:E"),$AE$5,INDIRECT("'"&amp;AN6&amp;"'"&amp;"!F:F")))</f>
        <v>0</v>
      </c>
      <c r="AF6" s="134"/>
      <c r="AG6" s="1110">
        <f>IF(AF6="",0,AE6-AF6)</f>
        <v>0</v>
      </c>
      <c r="AH6" s="134"/>
      <c r="AI6" s="180"/>
      <c r="AJ6" s="181"/>
      <c r="AK6" s="182"/>
      <c r="AL6" s="183"/>
      <c r="AM6" s="2509"/>
      <c r="AN6" s="2082" t="s">
        <v>3400</v>
      </c>
      <c r="AO6" s="2834"/>
      <c r="AP6" s="1101">
        <f>ROUND(1-1/(1+H6)^F6,3)</f>
        <v>0</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4">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4">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4">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4">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4">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4">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4">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6"/>
      <c r="V14" s="2037"/>
      <c r="W14" s="2037"/>
      <c r="X14" s="2038"/>
      <c r="Y14" s="2039"/>
      <c r="Z14" s="131"/>
      <c r="AA14" s="2040"/>
      <c r="AB14" s="2040"/>
      <c r="AC14" s="2041"/>
      <c r="AD14" s="2038"/>
      <c r="AE14" s="934"/>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t="e">
        <f>ROUND(SUMPRODUCT(G6:G13,K6:K13)/SUMPRODUCT((G6:G13&gt;0)*(K6:K13)),3)</f>
        <v>#DIV/0!</v>
      </c>
      <c r="H16" s="194">
        <f>ROUND(SUMPRODUCT(H6:H13,K6:K13)/SUMPRODUCT((H6:H13&gt;0)*(K6:K13)),3)</f>
        <v>0.04</v>
      </c>
      <c r="I16" s="195"/>
      <c r="J16" s="195"/>
      <c r="K16" s="196">
        <f>SUM(K6:K15)</f>
        <v>76200</v>
      </c>
      <c r="L16" s="197">
        <f>ROUND(M16*10000/SUM(K6:K14),0)</f>
        <v>0</v>
      </c>
      <c r="M16" s="197">
        <f>SUM(M6:M14)</f>
        <v>0</v>
      </c>
      <c r="N16" s="198" t="e">
        <f>ROUND(SUMPRODUCT(M6:M14,N6:N14)/M16,3)</f>
        <v>#DIV/0!</v>
      </c>
      <c r="O16" s="197">
        <f>SUM(O6:O14)</f>
        <v>0</v>
      </c>
      <c r="P16" s="197">
        <f>SUM(P6:P14)</f>
        <v>0</v>
      </c>
      <c r="Q16" s="199" t="e">
        <f>ROUND(SUMPRODUCT(Q6:Q13,K6:K13)/SUMPRODUCT((Q6:Q13&gt;0)*(K6:K13)),2)</f>
        <v>#DIV/0!</v>
      </c>
      <c r="R16" s="2028">
        <f>SUM(R6:R13)</f>
        <v>76200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t="e">
        <f>ROUND(SUMPRODUCT(AP6:AP13,K6:K13)/SUMPRODUCT((AP6:AP13&gt;0)*(K6:K13)),3)</f>
        <v>#DIV/0!</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8.8">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185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f>ROUND(B28*'数据-基础表'!A3/10000,4)</f>
        <v>1409.7</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224">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185</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2291</v>
      </c>
      <c r="B40" s="2128">
        <f ca="1">IF(A40="利息：取LPR",存贷款利率!E2,存贷款利率!E2+C40)</f>
        <v>3.4500000000000003E-2</v>
      </c>
      <c r="C40" s="3020">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f>C59</f>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813" t="s">
        <v>1198</v>
      </c>
      <c r="B1" s="3814"/>
      <c r="C1" s="3814"/>
      <c r="D1" s="3814"/>
      <c r="E1" s="3814"/>
      <c r="F1" s="3814"/>
      <c r="G1" s="3814"/>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3714" t="s">
        <v>3404</v>
      </c>
    </row>
    <row r="24" spans="1:7" ht="15" thickBot="1">
      <c r="A24" s="2922"/>
      <c r="B24" s="2921"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7" customWidth="1"/>
    <col min="2" max="16384" width="14.6640625" style="2927"/>
  </cols>
  <sheetData>
    <row r="1" spans="1:10" ht="15.6">
      <c r="A1" s="2926" t="s">
        <v>2118</v>
      </c>
      <c r="B1" s="2926">
        <f>SUM(B14:B23)</f>
        <v>0</v>
      </c>
      <c r="C1" s="2935"/>
      <c r="D1" s="2935"/>
      <c r="E1" s="2935"/>
      <c r="F1" s="2935"/>
      <c r="G1" s="2936"/>
      <c r="H1" s="2936"/>
      <c r="I1" s="2936"/>
      <c r="J1" s="2936"/>
    </row>
    <row r="2" spans="1:10" ht="15.6">
      <c r="A2" s="2926" t="s">
        <v>2119</v>
      </c>
      <c r="B2" s="2926">
        <f>SUM(C14:C23)</f>
        <v>0</v>
      </c>
      <c r="C2" s="2935"/>
      <c r="D2" s="2935"/>
      <c r="E2" s="2935"/>
      <c r="F2" s="2935"/>
      <c r="G2" s="2936"/>
      <c r="H2" s="2936"/>
      <c r="I2" s="2936"/>
      <c r="J2" s="2936"/>
    </row>
    <row r="3" spans="1:10" ht="15.6">
      <c r="A3" s="2926" t="s">
        <v>2120</v>
      </c>
      <c r="B3" s="2928">
        <f>项目基本情况!D3</f>
        <v>45597</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SUM(D14:D23)</f>
        <v>0</v>
      </c>
      <c r="C5" s="2926" t="e">
        <f>ROUND(B5*10000/$B$1,0)</f>
        <v>#DIV/0!</v>
      </c>
      <c r="D5" s="2926" t="e">
        <f>ROUND(B5*10000/$B$2,0)</f>
        <v>#DIV/0!</v>
      </c>
      <c r="E5" s="2935"/>
      <c r="F5" s="2935"/>
      <c r="G5" s="2936"/>
      <c r="H5" s="2936"/>
      <c r="I5" s="2936"/>
      <c r="J5" s="2936"/>
    </row>
    <row r="6" spans="1:10" ht="15.6">
      <c r="A6" s="2926" t="s">
        <v>2126</v>
      </c>
      <c r="B6" s="2926">
        <f>SUM(G14:G23)</f>
        <v>0</v>
      </c>
      <c r="C6" s="2926" t="e">
        <f>ROUND(B6*10000/$B$1,0)</f>
        <v>#DIV/0!</v>
      </c>
      <c r="D6" s="2926" t="e">
        <f>ROUND(B6*10000/$B$2,0)</f>
        <v>#DIV/0!</v>
      </c>
      <c r="E6" s="2935"/>
      <c r="F6" s="2935"/>
      <c r="G6" s="2936"/>
      <c r="H6" s="2936"/>
      <c r="I6" s="2936"/>
      <c r="J6" s="2936"/>
    </row>
    <row r="7" spans="1:10" ht="15.6">
      <c r="A7" s="2926" t="s">
        <v>2127</v>
      </c>
      <c r="B7" s="2926">
        <f>SUM(H14:H23)</f>
        <v>0</v>
      </c>
      <c r="C7" s="2926" t="e">
        <f>ROUND(B7*10000/$B$1,0)</f>
        <v>#DIV/0!</v>
      </c>
      <c r="D7" s="2926" t="e">
        <f>ROUND(B7*10000/$B$2,0)</f>
        <v>#DIV/0!</v>
      </c>
      <c r="E7" s="2935"/>
      <c r="F7" s="2935"/>
      <c r="G7" s="2936"/>
      <c r="H7" s="2936"/>
      <c r="I7" s="2936"/>
      <c r="J7" s="2936"/>
    </row>
    <row r="8" spans="1:10" ht="15.6">
      <c r="A8" s="2926" t="s">
        <v>2128</v>
      </c>
      <c r="B8" s="2926">
        <f>SUM(I14:I23)</f>
        <v>0</v>
      </c>
      <c r="C8" s="2926" t="e">
        <f>ROUND(B8*10000/$B$1,0)</f>
        <v>#DIV/0!</v>
      </c>
      <c r="D8" s="2926" t="e">
        <f>ROUND(B8*10000/$B$2,0)</f>
        <v>#DIV/0!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c r="C14" s="2932"/>
      <c r="D14" s="2932"/>
      <c r="E14" s="2932" t="e">
        <f>ROUND(D14*10000/B14,0)</f>
        <v>#DIV/0!</v>
      </c>
      <c r="F14" s="2932" t="e">
        <f>ROUND(D14*10000/C14,0)</f>
        <v>#DIV/0!</v>
      </c>
      <c r="G14" s="2932"/>
      <c r="H14" s="2932"/>
      <c r="I14" s="2932"/>
      <c r="J14" s="2936"/>
    </row>
    <row r="15" spans="1:10" ht="15.6">
      <c r="A15" s="2931" t="s">
        <v>2135</v>
      </c>
      <c r="B15" s="2933"/>
      <c r="C15" s="2933"/>
      <c r="D15" s="2933"/>
      <c r="E15" s="2932" t="e">
        <f t="shared" ref="E15:E23" si="0">ROUND(D15*10000/B15,0)</f>
        <v>#DIV/0!</v>
      </c>
      <c r="F15" s="2932" t="e">
        <f t="shared" ref="F15:F23" si="1">ROUND(D15*10000/C15,0)</f>
        <v>#DIV/0!</v>
      </c>
      <c r="G15" s="2513"/>
      <c r="H15" s="2513"/>
      <c r="I15" s="2933"/>
      <c r="J15" s="2936"/>
    </row>
    <row r="16" spans="1:10" ht="15.6">
      <c r="A16" s="2931" t="s">
        <v>2136</v>
      </c>
      <c r="B16" s="2933"/>
      <c r="C16" s="2933"/>
      <c r="D16" s="2933"/>
      <c r="E16" s="2932" t="e">
        <f t="shared" si="0"/>
        <v>#DIV/0!</v>
      </c>
      <c r="F16" s="2932" t="e">
        <f t="shared" si="1"/>
        <v>#DIV/0!</v>
      </c>
      <c r="G16" s="2513"/>
      <c r="H16" s="2513"/>
      <c r="I16" s="2933"/>
      <c r="J16" s="2936"/>
    </row>
    <row r="17" spans="1:10" ht="15.6">
      <c r="A17" s="2931" t="s">
        <v>2137</v>
      </c>
      <c r="B17" s="2933"/>
      <c r="C17" s="2933"/>
      <c r="D17" s="2933"/>
      <c r="E17" s="2932" t="e">
        <f t="shared" si="0"/>
        <v>#DIV/0!</v>
      </c>
      <c r="F17" s="2932" t="e">
        <f t="shared" si="1"/>
        <v>#DIV/0!</v>
      </c>
      <c r="G17" s="2513"/>
      <c r="H17" s="2513"/>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19">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A31" sqref="A31:I31"/>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59" t="str">
        <f>项目基本情况!K2</f>
        <v>北京市出让国有建设用地使用权</v>
      </c>
      <c r="B2" s="3860"/>
      <c r="C2" s="3861"/>
      <c r="D2" s="3861"/>
      <c r="E2" s="3861"/>
      <c r="F2" s="3861"/>
      <c r="G2" s="3860"/>
      <c r="H2" s="3860"/>
      <c r="I2" s="3862"/>
      <c r="J2" s="1752"/>
      <c r="K2" s="1751"/>
      <c r="L2" s="1751"/>
      <c r="M2" s="1751"/>
      <c r="N2" s="1751"/>
      <c r="O2" s="1751"/>
      <c r="P2" s="1751"/>
      <c r="Q2" s="1751"/>
      <c r="R2" s="1751"/>
      <c r="S2" s="1751"/>
      <c r="T2" s="1751"/>
      <c r="U2" s="1751"/>
      <c r="V2" s="1751"/>
    </row>
    <row r="3" spans="1:22" ht="13.8">
      <c r="A3" s="3852" t="s">
        <v>264</v>
      </c>
      <c r="B3" s="3853"/>
      <c r="C3" s="3853"/>
      <c r="D3" s="3853"/>
      <c r="E3" s="3853"/>
      <c r="F3" s="3853"/>
      <c r="G3" s="3853"/>
      <c r="H3" s="3853"/>
      <c r="I3" s="3853"/>
      <c r="J3" s="1752"/>
      <c r="K3" s="1751"/>
      <c r="L3" s="1751"/>
      <c r="M3" s="1751"/>
      <c r="N3" s="1751"/>
      <c r="O3" s="1751"/>
      <c r="P3" s="1751"/>
      <c r="Q3" s="1751"/>
      <c r="R3" s="1751"/>
      <c r="S3" s="1751"/>
      <c r="T3" s="1751"/>
      <c r="U3" s="1751"/>
      <c r="V3" s="1751"/>
    </row>
    <row r="4" spans="1:22" ht="14.4">
      <c r="A4" s="249" t="s">
        <v>265</v>
      </c>
      <c r="B4" s="250" t="s">
        <v>266</v>
      </c>
      <c r="C4" s="251" t="s">
        <v>3413</v>
      </c>
      <c r="D4" s="251" t="s">
        <v>3400</v>
      </c>
      <c r="E4" s="3818" t="s">
        <v>267</v>
      </c>
      <c r="F4" s="3819"/>
      <c r="G4" s="3819"/>
      <c r="H4" s="3819"/>
      <c r="I4" s="3854"/>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3.8">
      <c r="A5" s="3817" t="s">
        <v>268</v>
      </c>
      <c r="B5" s="3846">
        <v>25</v>
      </c>
      <c r="C5" s="3844">
        <v>4</v>
      </c>
      <c r="D5" s="3848">
        <f>10-C5</f>
        <v>6</v>
      </c>
      <c r="E5" s="252" t="s">
        <v>269</v>
      </c>
      <c r="F5" s="253"/>
      <c r="G5" s="253"/>
      <c r="H5" s="253"/>
      <c r="I5" s="254"/>
      <c r="J5" s="1752"/>
      <c r="K5" s="1751"/>
      <c r="L5" s="1751"/>
      <c r="M5" s="1751"/>
      <c r="N5" s="1751"/>
      <c r="O5" s="1751"/>
      <c r="P5" s="1751"/>
      <c r="Q5" s="1751"/>
      <c r="R5" s="1751"/>
      <c r="S5" s="1751"/>
      <c r="T5" s="1751"/>
      <c r="U5" s="1751"/>
      <c r="V5" s="1751"/>
    </row>
    <row r="6" spans="1:22" ht="13.8">
      <c r="A6" s="3817"/>
      <c r="B6" s="3846"/>
      <c r="C6" s="3847"/>
      <c r="D6" s="3848"/>
      <c r="E6" s="252" t="s">
        <v>270</v>
      </c>
      <c r="F6" s="253"/>
      <c r="G6" s="253"/>
      <c r="H6" s="253"/>
      <c r="I6" s="254"/>
      <c r="J6" s="1752"/>
      <c r="K6" s="1751"/>
      <c r="L6" s="1751"/>
      <c r="M6" s="1751"/>
      <c r="N6" s="1751"/>
      <c r="O6" s="1751"/>
      <c r="P6" s="1751"/>
      <c r="Q6" s="1751"/>
      <c r="R6" s="1751"/>
      <c r="S6" s="1751"/>
      <c r="T6" s="1751"/>
      <c r="U6" s="1751"/>
      <c r="V6" s="1751"/>
    </row>
    <row r="7" spans="1:22" ht="13.8">
      <c r="A7" s="3817"/>
      <c r="B7" s="3846"/>
      <c r="C7" s="3845"/>
      <c r="D7" s="3848"/>
      <c r="E7" s="252" t="s">
        <v>271</v>
      </c>
      <c r="F7" s="253"/>
      <c r="G7" s="253"/>
      <c r="H7" s="253"/>
      <c r="I7" s="254"/>
      <c r="J7" s="1752"/>
      <c r="K7" s="1751"/>
      <c r="L7" s="1751"/>
      <c r="M7" s="1751"/>
      <c r="N7" s="1751"/>
      <c r="O7" s="1751"/>
      <c r="P7" s="1751"/>
      <c r="Q7" s="1751"/>
      <c r="R7" s="1751"/>
      <c r="S7" s="1751"/>
      <c r="T7" s="1751"/>
      <c r="U7" s="1751"/>
      <c r="V7" s="1751"/>
    </row>
    <row r="8" spans="1:22" ht="13.8">
      <c r="A8" s="3817" t="s">
        <v>272</v>
      </c>
      <c r="B8" s="3846">
        <v>15</v>
      </c>
      <c r="C8" s="3844"/>
      <c r="D8" s="3848"/>
      <c r="E8" s="252" t="s">
        <v>273</v>
      </c>
      <c r="F8" s="253"/>
      <c r="G8" s="253"/>
      <c r="H8" s="253"/>
      <c r="I8" s="254"/>
      <c r="J8" s="1752"/>
      <c r="K8" s="1751"/>
      <c r="L8" s="1751"/>
      <c r="M8" s="1751"/>
      <c r="N8" s="1751"/>
      <c r="O8" s="1751"/>
      <c r="P8" s="1751"/>
      <c r="Q8" s="1751"/>
      <c r="R8" s="1751"/>
      <c r="S8" s="1751"/>
      <c r="T8" s="1751"/>
      <c r="U8" s="1751"/>
      <c r="V8" s="1751"/>
    </row>
    <row r="9" spans="1:22" ht="13.8">
      <c r="A9" s="3817"/>
      <c r="B9" s="3846"/>
      <c r="C9" s="3845"/>
      <c r="D9" s="3848"/>
      <c r="E9" s="252" t="s">
        <v>274</v>
      </c>
      <c r="F9" s="253"/>
      <c r="G9" s="253"/>
      <c r="H9" s="253"/>
      <c r="I9" s="254"/>
      <c r="J9" s="1752"/>
      <c r="K9" s="1751"/>
      <c r="L9" s="1751"/>
      <c r="M9" s="1751"/>
      <c r="N9" s="1751"/>
      <c r="O9" s="1751"/>
      <c r="P9" s="1751"/>
      <c r="Q9" s="1751"/>
      <c r="R9" s="1751"/>
      <c r="S9" s="1751"/>
      <c r="T9" s="1751"/>
      <c r="U9" s="1751"/>
      <c r="V9" s="1751"/>
    </row>
    <row r="10" spans="1:22" ht="13.8">
      <c r="A10" s="3817" t="s">
        <v>275</v>
      </c>
      <c r="B10" s="3846">
        <v>15</v>
      </c>
      <c r="C10" s="3844"/>
      <c r="D10" s="3848"/>
      <c r="E10" s="252" t="s">
        <v>276</v>
      </c>
      <c r="F10" s="253"/>
      <c r="G10" s="253"/>
      <c r="H10" s="253"/>
      <c r="I10" s="254"/>
      <c r="J10" s="1752"/>
      <c r="K10" s="1751"/>
      <c r="L10" s="1751"/>
      <c r="M10" s="1751"/>
      <c r="N10" s="1751"/>
      <c r="O10" s="1751"/>
      <c r="P10" s="1751"/>
      <c r="Q10" s="1751"/>
      <c r="R10" s="1751"/>
      <c r="S10" s="1751"/>
      <c r="T10" s="1751"/>
      <c r="U10" s="1751"/>
      <c r="V10" s="1751"/>
    </row>
    <row r="11" spans="1:22" ht="13.8">
      <c r="A11" s="3817"/>
      <c r="B11" s="3846"/>
      <c r="C11" s="3845"/>
      <c r="D11" s="3848"/>
      <c r="E11" s="252" t="s">
        <v>277</v>
      </c>
      <c r="F11" s="253"/>
      <c r="G11" s="253"/>
      <c r="H11" s="253"/>
      <c r="I11" s="254"/>
      <c r="J11" s="1752"/>
      <c r="K11" s="1751"/>
      <c r="L11" s="1751"/>
      <c r="M11" s="1751"/>
      <c r="N11" s="1751"/>
      <c r="O11" s="1751"/>
      <c r="P11" s="1751"/>
      <c r="Q11" s="1751"/>
      <c r="R11" s="1751"/>
      <c r="S11" s="1751"/>
      <c r="T11" s="1751"/>
      <c r="U11" s="1751"/>
      <c r="V11" s="1751"/>
    </row>
    <row r="12" spans="1:22" ht="13.8">
      <c r="A12" s="3817" t="s">
        <v>278</v>
      </c>
      <c r="B12" s="3846">
        <v>15</v>
      </c>
      <c r="C12" s="3844"/>
      <c r="D12" s="3848"/>
      <c r="E12" s="252" t="s">
        <v>279</v>
      </c>
      <c r="F12" s="253"/>
      <c r="G12" s="253"/>
      <c r="H12" s="253"/>
      <c r="I12" s="254"/>
      <c r="J12" s="1752"/>
      <c r="K12" s="1751"/>
      <c r="L12" s="1751"/>
      <c r="M12" s="1751"/>
      <c r="N12" s="1751"/>
      <c r="O12" s="1751"/>
      <c r="P12" s="1751"/>
      <c r="Q12" s="1751"/>
      <c r="R12" s="1751"/>
      <c r="S12" s="1751"/>
      <c r="T12" s="1751"/>
      <c r="U12" s="1751"/>
      <c r="V12" s="1751"/>
    </row>
    <row r="13" spans="1:22" ht="13.8">
      <c r="A13" s="3817"/>
      <c r="B13" s="3846"/>
      <c r="C13" s="3845"/>
      <c r="D13" s="3848"/>
      <c r="E13" s="252" t="s">
        <v>280</v>
      </c>
      <c r="F13" s="253"/>
      <c r="G13" s="253"/>
      <c r="H13" s="253"/>
      <c r="I13" s="254"/>
      <c r="J13" s="1752"/>
      <c r="K13" s="1751"/>
      <c r="L13" s="1751"/>
      <c r="M13" s="1751"/>
      <c r="N13" s="1751"/>
      <c r="O13" s="1751"/>
      <c r="P13" s="1751"/>
      <c r="Q13" s="1751"/>
      <c r="R13" s="1751"/>
      <c r="S13" s="1751"/>
      <c r="T13" s="1751"/>
      <c r="U13" s="1751"/>
      <c r="V13" s="1751"/>
    </row>
    <row r="14" spans="1:22" ht="13.8">
      <c r="A14" s="3817" t="s">
        <v>281</v>
      </c>
      <c r="B14" s="3846">
        <v>30</v>
      </c>
      <c r="C14" s="3844"/>
      <c r="D14" s="3848"/>
      <c r="E14" s="252" t="s">
        <v>282</v>
      </c>
      <c r="F14" s="253"/>
      <c r="G14" s="253"/>
      <c r="H14" s="253"/>
      <c r="I14" s="254"/>
      <c r="J14" s="1752"/>
      <c r="K14" s="1751"/>
      <c r="L14" s="1751"/>
      <c r="M14" s="1751"/>
      <c r="N14" s="1751"/>
      <c r="O14" s="1751"/>
      <c r="P14" s="1751"/>
      <c r="Q14" s="1751"/>
      <c r="R14" s="1751"/>
      <c r="S14" s="1751"/>
      <c r="T14" s="1751"/>
      <c r="U14" s="1751"/>
      <c r="V14" s="1751"/>
    </row>
    <row r="15" spans="1:22" ht="13.8">
      <c r="A15" s="3817"/>
      <c r="B15" s="3846"/>
      <c r="C15" s="3847"/>
      <c r="D15" s="3848"/>
      <c r="E15" s="252" t="s">
        <v>283</v>
      </c>
      <c r="F15" s="253"/>
      <c r="G15" s="253"/>
      <c r="H15" s="253"/>
      <c r="I15" s="254"/>
      <c r="J15" s="1752"/>
      <c r="K15" s="1751"/>
      <c r="L15" s="1751"/>
      <c r="M15" s="1751"/>
      <c r="N15" s="1751"/>
      <c r="O15" s="1751"/>
      <c r="P15" s="1751"/>
      <c r="Q15" s="1751"/>
      <c r="R15" s="1751"/>
      <c r="S15" s="1751"/>
      <c r="T15" s="1751"/>
      <c r="U15" s="1751"/>
      <c r="V15" s="1751"/>
    </row>
    <row r="16" spans="1:22" ht="13.8">
      <c r="A16" s="3817"/>
      <c r="B16" s="3846"/>
      <c r="C16" s="3845"/>
      <c r="D16" s="3848"/>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4</v>
      </c>
      <c r="D17" s="256">
        <f>SUM(D5:D16)</f>
        <v>6</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0.4</v>
      </c>
      <c r="D18" s="258">
        <f>1-C18</f>
        <v>0.6</v>
      </c>
      <c r="E18" s="3849" t="s">
        <v>2254</v>
      </c>
      <c r="F18" s="3850"/>
      <c r="G18" s="3850"/>
      <c r="H18" s="3850"/>
      <c r="I18" s="3850"/>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11384</v>
      </c>
      <c r="D19" s="262">
        <f ca="1">SUMIF(INDIRECT("'"&amp;D4&amp;"'"&amp;"!A:A"),结果表!B19,INDIRECT("'"&amp;D4&amp;"'"&amp;"!B:B"))</f>
        <v>17092</v>
      </c>
      <c r="E19" s="259" t="s">
        <v>289</v>
      </c>
      <c r="F19" s="260" t="s">
        <v>288</v>
      </c>
      <c r="G19" s="263">
        <f ca="1">ROUND(C19*$C$18+D19*$D$18,0)</f>
        <v>14809</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1494</v>
      </c>
      <c r="D20" s="268">
        <f ca="1">SUMIF(INDIRECT("'"&amp;D4&amp;"'"&amp;"!A:A"),结果表!B20,INDIRECT("'"&amp;D4&amp;"'"&amp;"!B:B"))</f>
        <v>2243</v>
      </c>
      <c r="E20" s="265"/>
      <c r="F20" s="266" t="s">
        <v>291</v>
      </c>
      <c r="G20" s="269">
        <f ca="1">ROUND(C20*$C$18+D20*$D$18,0)</f>
        <v>1943</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1494</v>
      </c>
      <c r="D21" s="144">
        <f ca="1">SUMIF(INDIRECT("'"&amp;D4&amp;"'"&amp;"!A:A"),结果表!B21,INDIRECT("'"&amp;D4&amp;"'"&amp;"!B:B"))</f>
        <v>2243</v>
      </c>
      <c r="E21" s="265"/>
      <c r="F21" s="271" t="s">
        <v>293</v>
      </c>
      <c r="G21" s="273">
        <f ca="1">ROUND(C21*$C$18+D21*$D$18,0)</f>
        <v>1943</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0.50140548137737184</v>
      </c>
      <c r="E22" s="275"/>
      <c r="F22" s="276"/>
      <c r="G22" s="277">
        <f ca="1">ROUND(G19/('数据-汇总表'!D3/666.67),0)</f>
        <v>130</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3"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824"/>
      <c r="B25" s="1189" t="s">
        <v>297</v>
      </c>
      <c r="C25" s="281">
        <f>IF(B30=0,0,C30)</f>
        <v>0</v>
      </c>
      <c r="D25" s="282"/>
      <c r="E25" s="302"/>
      <c r="F25" s="302"/>
      <c r="G25" s="3720" t="s">
        <v>3407</v>
      </c>
      <c r="H25" s="302"/>
      <c r="I25" s="302"/>
      <c r="J25" s="1751"/>
      <c r="K25" s="1123" t="str">
        <f ca="1">项目基本情况!A17&amp;"国有建设用地使用权价格："&amp;O38&amp;"万元"</f>
        <v>出让国有建设用地使用权价格：14809万元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大写金额：人民币壹亿肆仟捌佰零玖万元整</v>
      </c>
      <c r="L26" s="1120"/>
      <c r="M26" s="1120"/>
      <c r="N26" s="1120"/>
      <c r="O26" s="1119"/>
      <c r="P26" s="1751"/>
      <c r="Q26" s="1751"/>
      <c r="R26" s="1751"/>
      <c r="S26" s="1751"/>
      <c r="T26" s="1751"/>
      <c r="U26" s="1751"/>
      <c r="V26" s="1751"/>
      <c r="W26" s="283"/>
      <c r="X26" s="283"/>
      <c r="Y26" s="283"/>
      <c r="Z26" s="283"/>
    </row>
    <row r="27" spans="1:26" ht="17.399999999999999">
      <c r="A27" s="284"/>
      <c r="B27" s="285"/>
      <c r="C27" s="285"/>
      <c r="D27" s="286"/>
      <c r="E27" s="302"/>
      <c r="F27" s="302"/>
      <c r="G27" s="302"/>
      <c r="H27" s="302"/>
      <c r="I27" s="302"/>
      <c r="J27" s="1751"/>
      <c r="K27" s="1126" t="str">
        <f ca="1">"单位面积地价："&amp;M38&amp;"元/平方米"</f>
        <v>单位面积地价：1943元/平方米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楼面地价：1943元/平方米</v>
      </c>
      <c r="L28" s="1120"/>
      <c r="M28" s="1120"/>
      <c r="N28" s="1120"/>
      <c r="O28" s="1119"/>
      <c r="P28" s="1751"/>
      <c r="V28" s="1751"/>
    </row>
    <row r="29" spans="1:26" ht="17.399999999999999">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 thickBot="1">
      <c r="A30" s="2554" t="s">
        <v>302</v>
      </c>
      <c r="B30" s="300"/>
      <c r="C30" s="300"/>
      <c r="D30" s="301"/>
      <c r="E30" s="2745" t="s">
        <v>2255</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51" t="s">
        <v>2256</v>
      </c>
      <c r="B31" s="3851"/>
      <c r="C31" s="3851"/>
      <c r="D31" s="3851"/>
      <c r="E31" s="3851"/>
      <c r="F31" s="3851"/>
      <c r="G31" s="3851"/>
      <c r="H31" s="3851"/>
      <c r="I31" s="3851"/>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8.600000000000001" thickTop="1" thickBot="1">
      <c r="A32" s="265" t="s">
        <v>303</v>
      </c>
      <c r="B32" s="2746" t="s">
        <v>1221</v>
      </c>
      <c r="C32" s="257">
        <f ca="1">G19-C24</f>
        <v>14809</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 thickBot="1">
      <c r="A33" s="289" t="s">
        <v>306</v>
      </c>
      <c r="B33" s="1238" t="s">
        <v>1223</v>
      </c>
      <c r="C33" s="255">
        <f ca="1">ROUND(C32*10000/'数据-汇总表'!E3,0)</f>
        <v>1943</v>
      </c>
      <c r="D33" s="1239" t="s">
        <v>1224</v>
      </c>
      <c r="E33" s="3823" t="s">
        <v>304</v>
      </c>
      <c r="F33" s="287" t="s">
        <v>305</v>
      </c>
      <c r="G33" s="288"/>
      <c r="H33" s="942"/>
      <c r="I33" s="1127"/>
      <c r="J33" s="1751"/>
      <c r="K33" s="1126" t="str">
        <f>IF(项目基本情况!E9="——","——","抵押净值："&amp;C46&amp;"万元")</f>
        <v>抵押净值：——万元</v>
      </c>
      <c r="L33" s="1120"/>
      <c r="M33" s="1120"/>
      <c r="N33" s="1120"/>
      <c r="O33" s="1119"/>
      <c r="P33" s="1751"/>
      <c r="V33" s="1751"/>
    </row>
    <row r="34" spans="1:26" s="1122" customFormat="1" ht="18" thickBot="1">
      <c r="A34" s="291"/>
      <c r="B34" s="1240" t="s">
        <v>1225</v>
      </c>
      <c r="C34" s="255">
        <f ca="1">ROUND(C32*10000/'数据-汇总表'!D3,0)</f>
        <v>1943</v>
      </c>
      <c r="D34" s="1241" t="s">
        <v>1224</v>
      </c>
      <c r="E34" s="3867"/>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130</v>
      </c>
      <c r="D35" s="1244" t="s">
        <v>1226</v>
      </c>
      <c r="E35" s="3868"/>
      <c r="F35" s="292" t="s">
        <v>308</v>
      </c>
      <c r="G35" s="944"/>
      <c r="H35" s="943" t="s">
        <v>309</v>
      </c>
      <c r="I35" s="302"/>
      <c r="J35" s="1751"/>
      <c r="K35" s="3841" t="s">
        <v>316</v>
      </c>
      <c r="L35" s="3841" t="s">
        <v>317</v>
      </c>
      <c r="M35" s="1132" t="s">
        <v>318</v>
      </c>
      <c r="N35" s="3841" t="s">
        <v>319</v>
      </c>
      <c r="O35" s="3841" t="s">
        <v>320</v>
      </c>
      <c r="P35" s="1751"/>
      <c r="V35" s="1751"/>
    </row>
    <row r="36" spans="1:26" ht="16.5" customHeight="1">
      <c r="A36" s="294" t="s">
        <v>310</v>
      </c>
      <c r="B36" s="295" t="s">
        <v>299</v>
      </c>
      <c r="C36" s="296" t="s">
        <v>311</v>
      </c>
      <c r="D36" s="296" t="s">
        <v>312</v>
      </c>
      <c r="E36" s="297" t="s">
        <v>313</v>
      </c>
      <c r="F36" s="302"/>
      <c r="G36" s="302"/>
      <c r="H36" s="302"/>
      <c r="I36" s="302"/>
      <c r="J36" s="1753"/>
      <c r="K36" s="3842"/>
      <c r="L36" s="3842"/>
      <c r="M36" s="1134" t="s">
        <v>321</v>
      </c>
      <c r="N36" s="3842"/>
      <c r="O36" s="3842"/>
      <c r="P36" s="1751"/>
      <c r="V36" s="1751"/>
    </row>
    <row r="37" spans="1:26" ht="16.5" customHeight="1" thickBot="1">
      <c r="A37" s="1128" t="s">
        <v>314</v>
      </c>
      <c r="B37" s="298"/>
      <c r="C37" s="285"/>
      <c r="D37" s="285"/>
      <c r="E37" s="286"/>
      <c r="F37" s="302"/>
      <c r="G37" s="302"/>
      <c r="H37" s="302"/>
      <c r="I37" s="302"/>
      <c r="J37" s="1753"/>
      <c r="K37" s="3843"/>
      <c r="L37" s="3843"/>
      <c r="M37" s="1135"/>
      <c r="N37" s="3843"/>
      <c r="O37" s="3843"/>
      <c r="P37" s="1751"/>
      <c r="V37" s="1751"/>
    </row>
    <row r="38" spans="1:26" ht="16.5" customHeight="1" thickBot="1">
      <c r="A38" s="1128" t="s">
        <v>315</v>
      </c>
      <c r="B38" s="298"/>
      <c r="C38" s="285"/>
      <c r="D38" s="285"/>
      <c r="E38" s="286"/>
      <c r="F38" s="302"/>
      <c r="G38" s="302"/>
      <c r="H38" s="302"/>
      <c r="I38" s="302"/>
      <c r="J38" s="1753"/>
      <c r="K38" s="1136">
        <f>'数据-汇总表'!D3</f>
        <v>76200</v>
      </c>
      <c r="L38" s="1137">
        <f>'数据-汇总表'!E3</f>
        <v>76200</v>
      </c>
      <c r="M38" s="1137">
        <f ca="1">C34</f>
        <v>1943</v>
      </c>
      <c r="N38" s="1137">
        <f ca="1">C33</f>
        <v>1943</v>
      </c>
      <c r="O38" s="1138">
        <f ca="1">C32</f>
        <v>14809</v>
      </c>
      <c r="P38" s="1751"/>
      <c r="V38" s="1751"/>
    </row>
    <row r="39" spans="1:26" ht="16.5" customHeight="1" thickBot="1">
      <c r="A39" s="1133"/>
      <c r="B39" s="299"/>
      <c r="C39" s="300"/>
      <c r="D39" s="300"/>
      <c r="E39" s="301"/>
      <c r="F39" s="302"/>
      <c r="G39" s="302"/>
      <c r="H39" s="302"/>
      <c r="I39" s="302"/>
      <c r="J39" s="1753"/>
      <c r="K39" s="3881" t="str">
        <f>MID(A44,3,LEN(A44)-2)</f>
        <v/>
      </c>
      <c r="L39" s="3882"/>
      <c r="M39" s="3882"/>
      <c r="N39" s="3883"/>
      <c r="O39" s="1246" t="str">
        <f>C44</f>
        <v>——</v>
      </c>
      <c r="P39" s="1751"/>
      <c r="V39" s="1751"/>
    </row>
    <row r="40" spans="1:26" ht="18" thickBot="1">
      <c r="A40" s="100" t="s">
        <v>810</v>
      </c>
      <c r="B40" s="302"/>
      <c r="C40" s="302"/>
      <c r="D40" s="302"/>
      <c r="E40" s="302"/>
      <c r="F40" s="302"/>
      <c r="G40" s="302"/>
      <c r="H40" s="302"/>
      <c r="I40" s="302"/>
      <c r="J40" s="1753"/>
      <c r="K40" s="3881" t="str">
        <f>MID(A45,3,LEN(A45)-2)</f>
        <v/>
      </c>
      <c r="L40" s="3882"/>
      <c r="M40" s="3882"/>
      <c r="N40" s="3883"/>
      <c r="O40" s="1246" t="str">
        <f>C45</f>
        <v>——</v>
      </c>
      <c r="P40" s="1751"/>
      <c r="V40" s="1751"/>
    </row>
    <row r="41" spans="1:26" ht="16.2" thickBot="1">
      <c r="A41" s="303" t="s">
        <v>322</v>
      </c>
      <c r="B41" s="304"/>
      <c r="C41" s="305" t="s">
        <v>323</v>
      </c>
      <c r="D41" s="306" t="s">
        <v>324</v>
      </c>
      <c r="E41" s="306" t="s">
        <v>325</v>
      </c>
      <c r="F41" s="307" t="s">
        <v>326</v>
      </c>
      <c r="G41" s="302"/>
      <c r="H41" s="302"/>
      <c r="I41" s="302"/>
      <c r="J41" s="1753"/>
      <c r="K41" s="3881" t="str">
        <f>MID(A46,3,LEN(A46)-2)</f>
        <v/>
      </c>
      <c r="L41" s="3882"/>
      <c r="M41" s="3882"/>
      <c r="N41" s="3883"/>
      <c r="O41" s="1246" t="str">
        <f>C46</f>
        <v>——</v>
      </c>
      <c r="P41" s="1751"/>
      <c r="V41" s="1751"/>
    </row>
    <row r="42" spans="1:26" ht="31.2">
      <c r="A42" s="3825" t="s">
        <v>1585</v>
      </c>
      <c r="B42" s="3826"/>
      <c r="C42" s="255">
        <f ca="1">C32</f>
        <v>14809</v>
      </c>
      <c r="D42" s="308">
        <f ca="1">C33</f>
        <v>1943</v>
      </c>
      <c r="E42" s="308">
        <f ca="1">C34</f>
        <v>1943</v>
      </c>
      <c r="F42" s="309">
        <f ca="1">C35</f>
        <v>130</v>
      </c>
      <c r="G42" s="302"/>
      <c r="H42" s="302"/>
      <c r="I42" s="310"/>
      <c r="J42" s="1753"/>
      <c r="K42" s="1139" t="s">
        <v>327</v>
      </c>
      <c r="L42" s="1770" t="s">
        <v>328</v>
      </c>
      <c r="M42" s="1140" t="s">
        <v>329</v>
      </c>
      <c r="N42" s="1771" t="s">
        <v>330</v>
      </c>
      <c r="O42" s="1772" t="s">
        <v>331</v>
      </c>
      <c r="P42" s="1751"/>
      <c r="V42" s="1751"/>
    </row>
    <row r="43" spans="1:26" ht="17.399999999999999">
      <c r="A43" s="3836" t="s">
        <v>2012</v>
      </c>
      <c r="B43" s="3837"/>
      <c r="C43" s="255">
        <f>IF(H33="正常操作",G33+G34+G35,G34+G35)</f>
        <v>0</v>
      </c>
      <c r="D43" s="308" t="s">
        <v>17</v>
      </c>
      <c r="E43" s="308" t="s">
        <v>18</v>
      </c>
      <c r="F43" s="309" t="s">
        <v>18</v>
      </c>
      <c r="G43" s="2345" t="s">
        <v>877</v>
      </c>
      <c r="H43" s="302"/>
      <c r="I43" s="310"/>
      <c r="J43" s="1753"/>
      <c r="K43" s="1141" t="str">
        <f>C4</f>
        <v>比较法-工业</v>
      </c>
      <c r="L43" s="1142">
        <f ca="1">IF(L42="估价结果/万元",C19,C20)</f>
        <v>11384</v>
      </c>
      <c r="M43" s="1143">
        <f>C18</f>
        <v>0.4</v>
      </c>
      <c r="N43" s="1144">
        <f ca="1">IF(N42="测算结果/万元",G19,G20)</f>
        <v>14809</v>
      </c>
      <c r="O43" s="1145">
        <f ca="1">IF(O42="最终结果/万元",C32,C33)</f>
        <v>14809</v>
      </c>
      <c r="P43" s="1751"/>
      <c r="V43" s="1751"/>
    </row>
    <row r="44" spans="1:26" ht="18" thickBot="1">
      <c r="A44" s="3825" t="str">
        <f>IF(OR(项目基本情况!E8="抵押价格",项目基本情况!E8="已注销及未注销"),"3.抵押价格","——")</f>
        <v>——</v>
      </c>
      <c r="B44" s="3826"/>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基准地价</v>
      </c>
      <c r="L44" s="1147">
        <f ca="1">IF(L42="估价结果/万元",D19,D20)</f>
        <v>17092</v>
      </c>
      <c r="M44" s="1148">
        <f>D18</f>
        <v>0.6</v>
      </c>
      <c r="N44" s="1149"/>
      <c r="O44" s="1150"/>
      <c r="P44" s="1751"/>
      <c r="V44" s="1751"/>
    </row>
    <row r="45" spans="1:26" ht="13.8">
      <c r="A45" s="3831" t="str">
        <f>IF(项目基本情况!E8="已注销及未注销","4.抵押担保权已注销时的抵押价格",IF(项目基本情况!E8="已注销","3.抵押担保权已注销时的抵押价格","——"))</f>
        <v>——</v>
      </c>
      <c r="B45" s="3832"/>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827" t="str">
        <f>IF(项目基本情况!E9="抵押净值",IF(A45="——","4.抵押净值","5.抵押净值"),"——")</f>
        <v>——</v>
      </c>
      <c r="B46" s="3828"/>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75" t="s">
        <v>340</v>
      </c>
      <c r="B63" s="3876"/>
      <c r="C63" s="3877"/>
      <c r="D63" s="332">
        <f ca="1">ROUND(C42*F63,0)</f>
        <v>14809</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33" t="s">
        <v>344</v>
      </c>
      <c r="B64" s="3834"/>
      <c r="C64" s="3834"/>
      <c r="D64" s="3834"/>
      <c r="E64" s="3834"/>
      <c r="F64" s="3834"/>
      <c r="G64" s="3835"/>
      <c r="H64" s="1156"/>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1"/>
      <c r="J65" s="1742"/>
      <c r="K65" s="1157"/>
      <c r="L65" s="1158"/>
      <c r="M65" s="1158"/>
      <c r="N65" s="1190" t="s">
        <v>345</v>
      </c>
      <c r="O65" s="1191"/>
      <c r="P65" s="1192"/>
      <c r="Q65" s="1751"/>
      <c r="R65" s="1751"/>
      <c r="S65" s="1751"/>
      <c r="T65" s="1751"/>
      <c r="U65" s="1751"/>
      <c r="V65" s="1751"/>
    </row>
    <row r="66" spans="1:22" ht="26.4">
      <c r="A66" s="3829" t="s">
        <v>352</v>
      </c>
      <c r="B66" s="3830"/>
      <c r="C66" s="383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6"/>
      <c r="J66" s="1757"/>
      <c r="K66" s="1159">
        <v>1</v>
      </c>
      <c r="L66" s="3890" t="s">
        <v>351</v>
      </c>
      <c r="M66" s="3891"/>
      <c r="N66" s="2109"/>
      <c r="O66" s="2110"/>
      <c r="P66" s="2111"/>
      <c r="Q66" s="1751"/>
      <c r="R66" s="1751"/>
      <c r="S66" s="1751"/>
      <c r="T66" s="1751"/>
      <c r="U66" s="1751"/>
      <c r="V66" s="1751"/>
    </row>
    <row r="67" spans="1:22" ht="25.5" customHeight="1">
      <c r="A67" s="343" t="s">
        <v>355</v>
      </c>
      <c r="B67" s="3820" t="s">
        <v>356</v>
      </c>
      <c r="C67" s="3820"/>
      <c r="D67" s="344">
        <v>0</v>
      </c>
      <c r="E67" s="39" t="s">
        <v>357</v>
      </c>
      <c r="F67" s="60" t="s">
        <v>15</v>
      </c>
      <c r="G67" s="3878"/>
      <c r="H67" s="2748" t="s">
        <v>2257</v>
      </c>
      <c r="I67" s="2750"/>
      <c r="J67" s="1758"/>
      <c r="K67" s="1730">
        <v>2</v>
      </c>
      <c r="L67" s="3884" t="s">
        <v>354</v>
      </c>
      <c r="M67" s="3884"/>
      <c r="N67" s="1193">
        <f>'数据-取费表'!B2</f>
        <v>45597</v>
      </c>
      <c r="O67" s="1193"/>
      <c r="P67" s="1193"/>
      <c r="Q67" s="1751"/>
      <c r="R67" s="1751"/>
      <c r="S67" s="1751"/>
      <c r="T67" s="1751"/>
      <c r="U67" s="1751"/>
      <c r="V67" s="1751"/>
    </row>
    <row r="68" spans="1:22" ht="25.5" customHeight="1">
      <c r="A68" s="345"/>
      <c r="B68" s="3820" t="s">
        <v>359</v>
      </c>
      <c r="C68" s="3820"/>
      <c r="D68" s="346"/>
      <c r="E68" s="75"/>
      <c r="F68" s="347"/>
      <c r="G68" s="3879"/>
      <c r="H68" s="2749" t="s">
        <v>2258</v>
      </c>
      <c r="I68" s="2750"/>
      <c r="J68" s="1758"/>
      <c r="K68" s="1730">
        <v>3</v>
      </c>
      <c r="L68" s="3884" t="s">
        <v>358</v>
      </c>
      <c r="M68" s="3884"/>
      <c r="N68" s="1161">
        <f ca="1">C42</f>
        <v>14809</v>
      </c>
      <c r="O68" s="1161"/>
      <c r="P68" s="1161"/>
      <c r="Q68" s="1751"/>
      <c r="R68" s="1751"/>
      <c r="S68" s="1751"/>
      <c r="T68" s="1751"/>
      <c r="U68" s="1751"/>
      <c r="V68" s="1751"/>
    </row>
    <row r="69" spans="1:22" ht="23.4" customHeight="1">
      <c r="A69" s="348"/>
      <c r="B69" s="3820" t="s">
        <v>360</v>
      </c>
      <c r="C69" s="3820"/>
      <c r="D69" s="349"/>
      <c r="E69" s="71"/>
      <c r="F69" s="347"/>
      <c r="G69" s="3880"/>
      <c r="H69" s="2749" t="s">
        <v>2259</v>
      </c>
      <c r="I69" s="2750"/>
      <c r="J69" s="1758"/>
      <c r="K69" s="1162">
        <v>4</v>
      </c>
      <c r="L69" s="3894" t="s">
        <v>2157</v>
      </c>
      <c r="M69" s="3895"/>
      <c r="N69" s="1163" t="str">
        <f>C44</f>
        <v>——</v>
      </c>
      <c r="O69" s="1163"/>
      <c r="P69" s="1163"/>
      <c r="Q69" s="1751"/>
      <c r="R69" s="1751"/>
      <c r="S69" s="1751"/>
      <c r="T69" s="1751"/>
      <c r="U69" s="1751"/>
      <c r="V69" s="1751"/>
    </row>
    <row r="70" spans="1:22" ht="24" customHeight="1">
      <c r="A70" s="350" t="s">
        <v>361</v>
      </c>
      <c r="B70" s="3820" t="s">
        <v>362</v>
      </c>
      <c r="C70" s="3820"/>
      <c r="D70" s="349">
        <f ca="1">ROUND(D63*'数据-取费表'!B41/(1+'数据-取费表'!C42),0)</f>
        <v>776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21" t="s">
        <v>2286</v>
      </c>
      <c r="C71" s="3822"/>
      <c r="D71" s="349">
        <f ca="1">ROUND(D63*'数据-取费表'!B41/(1+'数据-取费表'!C42),0)</f>
        <v>776</v>
      </c>
      <c r="E71" s="15" t="s">
        <v>363</v>
      </c>
      <c r="F71" s="351">
        <f>'数据-取费表'!B41</f>
        <v>5.5000000000000007E-2</v>
      </c>
      <c r="G71" s="352"/>
      <c r="H71" s="302"/>
      <c r="I71" s="1160"/>
      <c r="J71" s="1758"/>
      <c r="K71" s="2520" t="s">
        <v>364</v>
      </c>
      <c r="L71" s="3896" t="s">
        <v>365</v>
      </c>
      <c r="M71" s="3896"/>
      <c r="N71" s="2520" t="s">
        <v>366</v>
      </c>
      <c r="O71" s="2520" t="s">
        <v>367</v>
      </c>
      <c r="P71" s="2520" t="s">
        <v>368</v>
      </c>
      <c r="Q71" s="1751"/>
      <c r="R71" s="1751"/>
      <c r="S71" s="1751"/>
      <c r="T71" s="1751"/>
      <c r="U71" s="1751"/>
      <c r="V71" s="1751"/>
    </row>
    <row r="72" spans="1:22" ht="12" customHeight="1">
      <c r="A72" s="350" t="s">
        <v>371</v>
      </c>
      <c r="B72" s="3821" t="s">
        <v>2287</v>
      </c>
      <c r="C72" s="3822"/>
      <c r="D72" s="349">
        <f ca="1">C86</f>
        <v>776</v>
      </c>
      <c r="E72" s="71" t="s">
        <v>372</v>
      </c>
      <c r="F72" s="351">
        <f>'数据-取费表'!B41</f>
        <v>5.5000000000000007E-2</v>
      </c>
      <c r="G72" s="352"/>
      <c r="H72" s="1166"/>
      <c r="I72" s="1160"/>
      <c r="J72" s="1758"/>
      <c r="K72" s="1730">
        <v>1</v>
      </c>
      <c r="L72" s="3871" t="s">
        <v>370</v>
      </c>
      <c r="M72" s="3871"/>
      <c r="N72" s="1164" t="b">
        <f>D66</f>
        <v>0</v>
      </c>
      <c r="O72" s="1635" t="str">
        <f>E66</f>
        <v>销售额×税（费）率</v>
      </c>
      <c r="P72" s="1165">
        <f>F66</f>
        <v>5.5000000000000007E-2</v>
      </c>
      <c r="Q72" s="1751"/>
      <c r="R72" s="1751"/>
      <c r="S72" s="1751"/>
      <c r="T72" s="1751"/>
      <c r="U72" s="1751"/>
      <c r="V72" s="1751"/>
    </row>
    <row r="73" spans="1:22" ht="24" customHeight="1">
      <c r="A73" s="3866" t="s">
        <v>374</v>
      </c>
      <c r="B73" s="3830"/>
      <c r="C73" s="3830"/>
      <c r="D73" s="353">
        <f ca="1">IF(H73="个人住宅",0,ROUND(D63*I73,0))</f>
        <v>7</v>
      </c>
      <c r="E73" s="15" t="s">
        <v>375</v>
      </c>
      <c r="F73" s="351" t="str">
        <f>IF(H73="正常",I73,"免征")</f>
        <v>免征</v>
      </c>
      <c r="G73" s="352"/>
      <c r="H73" s="184"/>
      <c r="I73" s="351">
        <f>'数据-取费表'!B49</f>
        <v>5.0000000000000001E-4</v>
      </c>
      <c r="J73" s="1758"/>
      <c r="K73" s="1730">
        <v>2</v>
      </c>
      <c r="L73" s="3871" t="s">
        <v>373</v>
      </c>
      <c r="M73" s="3871"/>
      <c r="N73" s="1164">
        <f t="shared" ref="N73:P74" ca="1" si="0">D73</f>
        <v>7</v>
      </c>
      <c r="O73" s="1635" t="str">
        <f t="shared" si="0"/>
        <v>销售额×税（费）率</v>
      </c>
      <c r="P73" s="1165" t="str">
        <f t="shared" si="0"/>
        <v>免征</v>
      </c>
      <c r="Q73" s="1751"/>
      <c r="R73" s="1751"/>
      <c r="S73" s="1751"/>
      <c r="T73" s="1751"/>
      <c r="U73" s="1751"/>
      <c r="V73" s="1751"/>
    </row>
    <row r="74" spans="1:22" ht="25.2">
      <c r="A74" s="3866" t="s">
        <v>377</v>
      </c>
      <c r="B74" s="3830"/>
      <c r="C74" s="3830"/>
      <c r="D74" s="353">
        <f ca="1">IF(H74="个人住宅",D75,D76)</f>
        <v>8395</v>
      </c>
      <c r="E74" s="15" t="s">
        <v>378</v>
      </c>
      <c r="F74" s="351" t="str">
        <f>IF(H74="正常",F76,"免征")</f>
        <v>免征</v>
      </c>
      <c r="G74" s="945" t="s">
        <v>379</v>
      </c>
      <c r="H74" s="354"/>
      <c r="I74" s="40"/>
      <c r="J74" s="1758"/>
      <c r="K74" s="1730">
        <v>3</v>
      </c>
      <c r="L74" s="3871" t="s">
        <v>376</v>
      </c>
      <c r="M74" s="3871"/>
      <c r="N74" s="1164">
        <f t="shared" ca="1" si="0"/>
        <v>8395</v>
      </c>
      <c r="O74" s="1635" t="str">
        <f t="shared" si="0"/>
        <v>增值额×税（费）率</v>
      </c>
      <c r="P74" s="1167" t="str">
        <f t="shared" si="0"/>
        <v>免征</v>
      </c>
      <c r="Q74" s="1751"/>
      <c r="R74" s="1751"/>
      <c r="S74" s="1751"/>
      <c r="T74" s="1751"/>
      <c r="U74" s="1751"/>
      <c r="V74" s="1751"/>
    </row>
    <row r="75" spans="1:22" ht="13.2">
      <c r="A75" s="350" t="s">
        <v>380</v>
      </c>
      <c r="B75" s="3818" t="s">
        <v>381</v>
      </c>
      <c r="C75" s="3854"/>
      <c r="D75" s="355">
        <v>0</v>
      </c>
      <c r="E75" s="39" t="s">
        <v>382</v>
      </c>
      <c r="F75" s="356"/>
      <c r="G75" s="352"/>
      <c r="H75" s="40"/>
      <c r="I75" s="40"/>
      <c r="J75" s="1758"/>
      <c r="K75" s="2514">
        <f>IF(H77="非个人房产","",4)</f>
        <v>4</v>
      </c>
      <c r="L75" s="3871" t="str">
        <f>IF(H77="非个人房产","——","个人所得税")</f>
        <v>个人所得税</v>
      </c>
      <c r="M75" s="3871"/>
      <c r="N75" s="1168">
        <f>D77</f>
        <v>0</v>
      </c>
      <c r="O75" s="1636" t="str">
        <f>E77</f>
        <v>差额计税</v>
      </c>
      <c r="P75" s="1169">
        <f>F77</f>
        <v>0.01</v>
      </c>
      <c r="Q75" s="1751"/>
      <c r="R75" s="1751"/>
      <c r="S75" s="1751"/>
      <c r="T75" s="1751"/>
      <c r="U75" s="1751"/>
      <c r="V75" s="1751"/>
    </row>
    <row r="76" spans="1:22" ht="25.2">
      <c r="A76" s="350" t="s">
        <v>361</v>
      </c>
      <c r="B76" s="3818" t="s">
        <v>384</v>
      </c>
      <c r="C76" s="3819"/>
      <c r="D76" s="353">
        <f ca="1">IF(H76="转让取得",C99,C115)</f>
        <v>8395</v>
      </c>
      <c r="E76" s="15" t="s">
        <v>385</v>
      </c>
      <c r="F76" s="51" t="s">
        <v>15</v>
      </c>
      <c r="G76" s="352"/>
      <c r="H76" s="354"/>
      <c r="I76" s="40"/>
      <c r="J76" s="1758"/>
      <c r="K76" s="2514" t="str">
        <f>IF(项目基本情况!K6="上海银行",IF(K75="",4,K75+1),"")</f>
        <v/>
      </c>
      <c r="L76" s="3886" t="str">
        <f>IF(项目基本情况!K6="上海银行","其他处置费用","")</f>
        <v/>
      </c>
      <c r="M76" s="3887"/>
      <c r="N76" s="1164" t="str">
        <f>IF(项目基本情况!K6="上海银行",N89,"")</f>
        <v/>
      </c>
      <c r="O76" s="3888" t="str">
        <f>IF(项目基本情况!K6="上海银行","包含处置中涉及的律师、诉讼、拍卖、评估等费用","")</f>
        <v/>
      </c>
      <c r="P76" s="3889"/>
      <c r="Q76" s="1751"/>
      <c r="R76" s="1751"/>
      <c r="S76" s="1751"/>
      <c r="T76" s="1751"/>
      <c r="U76" s="1751"/>
      <c r="V76" s="1751"/>
    </row>
    <row r="77" spans="1:22" ht="24.6" thickBot="1">
      <c r="A77" s="3873" t="s">
        <v>387</v>
      </c>
      <c r="B77" s="3874"/>
      <c r="C77" s="3874"/>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8"/>
      <c r="K77" s="3872">
        <f>IF(AND(K75="",K76=""),4,IF(项目基本情况!K6="上海银行",K76+1,K75+1))</f>
        <v>5</v>
      </c>
      <c r="L77" s="3871" t="s">
        <v>2158</v>
      </c>
      <c r="M77" s="2519" t="s">
        <v>383</v>
      </c>
      <c r="N77" s="1170"/>
      <c r="O77" s="1171">
        <f ca="1">SUMIF(N72:N76,"&lt;9e307")</f>
        <v>8402</v>
      </c>
      <c r="P77" s="1172"/>
      <c r="Q77" s="2517" t="e">
        <f ca="1">O77/N69</f>
        <v>#VALUE!</v>
      </c>
      <c r="R77" s="1751"/>
      <c r="S77" s="1751"/>
      <c r="T77" s="1751"/>
      <c r="U77" s="1751"/>
      <c r="V77" s="1751"/>
    </row>
    <row r="78" spans="1:22" ht="12" customHeight="1">
      <c r="A78" s="1173"/>
      <c r="B78" s="302"/>
      <c r="C78" s="302"/>
      <c r="D78" s="302"/>
      <c r="E78" s="40"/>
      <c r="F78" s="40"/>
      <c r="G78" s="40"/>
      <c r="H78" s="965"/>
      <c r="I78" s="302"/>
      <c r="J78" s="1758"/>
      <c r="K78" s="3872"/>
      <c r="L78" s="3871"/>
      <c r="M78" s="2519" t="s">
        <v>386</v>
      </c>
      <c r="N78" s="1170"/>
      <c r="O78" s="1171" t="str">
        <f ca="1">NUMBERSTRING(INT(O77*10000),2)&amp;"元整"</f>
        <v>捌仟肆佰零贰万元整</v>
      </c>
      <c r="P78" s="1172"/>
      <c r="Q78" s="1751"/>
      <c r="R78" s="1751"/>
      <c r="S78" s="1751"/>
      <c r="T78" s="1751"/>
      <c r="U78" s="1751"/>
      <c r="V78" s="1751"/>
    </row>
    <row r="79" spans="1:22" ht="13.8" thickBot="1">
      <c r="A79" s="3838" t="s">
        <v>388</v>
      </c>
      <c r="B79" s="3838"/>
      <c r="C79" s="3838"/>
      <c r="D79" s="3838"/>
      <c r="E79" s="3838"/>
      <c r="F79" s="40"/>
      <c r="G79" s="40"/>
      <c r="H79" s="965"/>
      <c r="I79" s="302"/>
      <c r="J79" s="1758"/>
      <c r="K79" s="3892">
        <f>K77+1</f>
        <v>6</v>
      </c>
      <c r="L79" s="3871" t="s">
        <v>2159</v>
      </c>
      <c r="M79" s="2519" t="s">
        <v>383</v>
      </c>
      <c r="N79" s="1170"/>
      <c r="O79" s="1171" t="e">
        <f ca="1">N69-O77</f>
        <v>#VALUE!</v>
      </c>
      <c r="P79" s="1172"/>
      <c r="Q79" s="1751"/>
      <c r="R79" s="1751"/>
      <c r="S79" s="1751"/>
      <c r="T79" s="1751"/>
      <c r="U79" s="1751"/>
      <c r="V79" s="1751"/>
    </row>
    <row r="80" spans="1:22" ht="13.2">
      <c r="A80" s="3839" t="s">
        <v>389</v>
      </c>
      <c r="B80" s="3840"/>
      <c r="C80" s="956"/>
      <c r="D80" s="956" t="s">
        <v>390</v>
      </c>
      <c r="E80" s="357" t="s">
        <v>391</v>
      </c>
      <c r="F80" s="40"/>
      <c r="G80" s="40"/>
      <c r="H80" s="965"/>
      <c r="I80" s="302"/>
      <c r="J80" s="1751"/>
      <c r="K80" s="3893"/>
      <c r="L80" s="3871"/>
      <c r="M80" s="2519" t="s">
        <v>386</v>
      </c>
      <c r="N80" s="1170"/>
      <c r="O80" s="1171" t="e">
        <f ca="1">NUMBERSTRING(INT(O79*10000),2)&amp;"元整"</f>
        <v>#VALUE!</v>
      </c>
      <c r="P80" s="1172"/>
      <c r="Q80" s="1751"/>
      <c r="R80" s="1751"/>
      <c r="S80" s="1751"/>
      <c r="T80" s="1751"/>
      <c r="U80" s="1751"/>
      <c r="V80" s="1751"/>
    </row>
    <row r="81" spans="1:26" ht="13.8" thickBot="1">
      <c r="A81" s="368" t="s">
        <v>1352</v>
      </c>
      <c r="B81" s="358" t="s">
        <v>392</v>
      </c>
      <c r="C81" s="359">
        <f ca="1">ROUND((C82+C83)/(1+'数据-取费表'!C42),0)</f>
        <v>14104</v>
      </c>
      <c r="D81" s="360"/>
      <c r="E81" s="361"/>
      <c r="F81" s="40"/>
      <c r="G81" s="40"/>
      <c r="H81" s="965"/>
      <c r="I81" s="302"/>
      <c r="J81" s="1751"/>
      <c r="K81" s="2514">
        <f>K79+1</f>
        <v>7</v>
      </c>
      <c r="L81" s="3869" t="s">
        <v>2160</v>
      </c>
      <c r="M81" s="3870"/>
      <c r="N81" s="1174"/>
      <c r="O81" s="1175" t="e">
        <f ca="1">ROUND(O79*10000/'数据-汇总表'!E3,0)</f>
        <v>#VALUE!</v>
      </c>
      <c r="P81" s="1176"/>
      <c r="Q81" s="1751"/>
      <c r="R81" s="1751"/>
      <c r="S81" s="1751"/>
      <c r="T81" s="1751"/>
      <c r="U81" s="1751"/>
      <c r="V81" s="1751"/>
    </row>
    <row r="82" spans="1:26" ht="13.8" thickTop="1">
      <c r="A82" s="362" t="s">
        <v>1353</v>
      </c>
      <c r="B82" s="363" t="s">
        <v>393</v>
      </c>
      <c r="C82" s="364">
        <f ca="1">D63</f>
        <v>14809</v>
      </c>
      <c r="D82" s="365" t="s">
        <v>13</v>
      </c>
      <c r="E82" s="366"/>
      <c r="F82" s="40"/>
      <c r="G82" s="40"/>
      <c r="H82" s="965"/>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5"/>
      <c r="I83" s="302"/>
      <c r="J83" s="1751"/>
      <c r="K83" s="3885"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25.2">
      <c r="A84" s="368" t="s">
        <v>1355</v>
      </c>
      <c r="B84" s="369" t="s">
        <v>395</v>
      </c>
      <c r="C84" s="370"/>
      <c r="D84" s="371" t="s">
        <v>13</v>
      </c>
      <c r="E84" s="2541" t="s">
        <v>2203</v>
      </c>
      <c r="F84" s="40"/>
      <c r="G84" s="40"/>
      <c r="H84" s="965"/>
      <c r="I84" s="302"/>
      <c r="J84" s="1751"/>
      <c r="K84" s="3885"/>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3.2">
      <c r="A85" s="368" t="s">
        <v>1356</v>
      </c>
      <c r="B85" s="369" t="s">
        <v>396</v>
      </c>
      <c r="C85" s="372">
        <f ca="1">C81-C84</f>
        <v>14104</v>
      </c>
      <c r="D85" s="365" t="s">
        <v>13</v>
      </c>
      <c r="E85" s="366"/>
      <c r="F85" s="40"/>
      <c r="G85" s="40"/>
      <c r="H85" s="965"/>
      <c r="I85" s="302"/>
      <c r="J85" s="1751"/>
      <c r="K85" s="3885"/>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8" thickBot="1">
      <c r="A86" s="373" t="s">
        <v>1357</v>
      </c>
      <c r="B86" s="374" t="s">
        <v>397</v>
      </c>
      <c r="C86" s="375">
        <f ca="1">IF(C85&lt;=0,0,ROUND(C85*D86,0))</f>
        <v>776</v>
      </c>
      <c r="D86" s="376">
        <f>'数据-取费表'!B41</f>
        <v>5.5000000000000007E-2</v>
      </c>
      <c r="E86" s="377"/>
      <c r="F86" s="40"/>
      <c r="G86" s="40"/>
      <c r="H86" s="965"/>
      <c r="I86" s="302"/>
      <c r="J86" s="1751"/>
      <c r="K86" s="3885"/>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5"/>
      <c r="I87" s="302"/>
      <c r="J87" s="1751"/>
      <c r="K87" s="3885"/>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4.4" thickBot="1">
      <c r="A88" s="3864" t="s">
        <v>398</v>
      </c>
      <c r="B88" s="3865"/>
      <c r="C88" s="3865"/>
      <c r="D88" s="3865"/>
      <c r="E88" s="3865"/>
      <c r="F88" s="3865"/>
      <c r="G88" s="3865"/>
      <c r="H88" s="3865"/>
      <c r="I88" s="1183"/>
      <c r="J88" s="1759"/>
      <c r="K88" s="3885"/>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3.8">
      <c r="A89" s="3839" t="s">
        <v>389</v>
      </c>
      <c r="B89" s="3840"/>
      <c r="C89" s="956"/>
      <c r="D89" s="956" t="s">
        <v>390</v>
      </c>
      <c r="E89" s="378" t="s">
        <v>399</v>
      </c>
      <c r="F89" s="379"/>
      <c r="G89" s="379"/>
      <c r="H89" s="380"/>
      <c r="I89" s="1184"/>
      <c r="J89" s="1761"/>
      <c r="K89" s="3885"/>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14104</v>
      </c>
      <c r="D90" s="365" t="s">
        <v>13</v>
      </c>
      <c r="E90" s="953"/>
      <c r="F90" s="952"/>
      <c r="G90" s="952"/>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71</v>
      </c>
      <c r="D91" s="365" t="s">
        <v>13</v>
      </c>
      <c r="E91" s="953"/>
      <c r="F91" s="952"/>
      <c r="G91" s="952"/>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3"/>
      <c r="F92" s="952"/>
      <c r="G92" s="952"/>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21" t="s">
        <v>407</v>
      </c>
      <c r="F94" s="3820"/>
      <c r="G94" s="3820"/>
      <c r="H94" s="3863"/>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71</v>
      </c>
      <c r="D96" s="393">
        <f>'数据-取费表'!B43</f>
        <v>5.000000000000001E-3</v>
      </c>
      <c r="E96" s="3855" t="s">
        <v>1780</v>
      </c>
      <c r="F96" s="3856"/>
      <c r="G96" s="3856"/>
      <c r="H96" s="3857"/>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14033</v>
      </c>
      <c r="D97" s="365" t="s">
        <v>13</v>
      </c>
      <c r="E97" s="953"/>
      <c r="F97" s="952"/>
      <c r="G97" s="952"/>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197.64788732394365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8395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64" t="s">
        <v>414</v>
      </c>
      <c r="B101" s="3865"/>
      <c r="C101" s="3865"/>
      <c r="D101" s="3865"/>
      <c r="E101" s="3865"/>
      <c r="F101" s="3865"/>
      <c r="G101" s="3865"/>
      <c r="H101" s="3865"/>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39" t="s">
        <v>389</v>
      </c>
      <c r="B102" s="3840"/>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14104</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71</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8"/>
      <c r="G108" s="3815" t="s">
        <v>2252</v>
      </c>
      <c r="H108" s="3816"/>
      <c r="I108" s="2611"/>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58" t="s">
        <v>422</v>
      </c>
      <c r="F109" s="3856"/>
      <c r="G109" s="3856"/>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58" t="s">
        <v>424</v>
      </c>
      <c r="F110" s="3856"/>
      <c r="G110" s="3856"/>
      <c r="H110" s="3857"/>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71</v>
      </c>
      <c r="D111" s="393">
        <f>'数据-取费表'!B43</f>
        <v>5.000000000000001E-3</v>
      </c>
      <c r="E111" s="3855" t="s">
        <v>1780</v>
      </c>
      <c r="F111" s="3856"/>
      <c r="G111" s="3856"/>
      <c r="H111" s="3857"/>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58" t="s">
        <v>1799</v>
      </c>
      <c r="F112" s="3856"/>
      <c r="G112" s="3856"/>
      <c r="H112" s="3857"/>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14033</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197.64788732394365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8395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26" t="str">
        <f>项目基本情况!B1</f>
        <v>北京市出让国有建设用地使用权市场价格预评估</v>
      </c>
      <c r="C37" s="3726"/>
      <c r="D37" s="3726"/>
      <c r="E37" s="3726"/>
      <c r="F37" s="3726"/>
      <c r="G37" s="3726"/>
      <c r="H37" s="3726"/>
      <c r="I37" s="3726"/>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t="e">
        <f ca="1">C36</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c r="D7" s="423"/>
      <c r="E7" s="423"/>
      <c r="F7" s="423"/>
      <c r="G7" s="423"/>
      <c r="H7" s="423"/>
      <c r="I7" s="423"/>
      <c r="J7" s="423"/>
      <c r="K7" s="424"/>
      <c r="AA7" s="1834"/>
      <c r="AB7" s="1834"/>
      <c r="AC7" s="1834"/>
      <c r="AD7" s="1834"/>
      <c r="AE7" s="1834"/>
    </row>
    <row r="8" spans="1:31" s="1837" customFormat="1" ht="13.5" customHeight="1">
      <c r="A8" s="769" t="s">
        <v>1374</v>
      </c>
      <c r="B8" s="252" t="s">
        <v>432</v>
      </c>
      <c r="C8" s="2313"/>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1410</v>
      </c>
      <c r="D16" s="2323">
        <f ca="1">IF(B1="",'数据-汇总表'!E3,INDIRECT("'数据-取费表'!K"&amp;$K$1)+INDIRECT("'数据-取费表'!S"&amp;$K$1))</f>
        <v>76200</v>
      </c>
      <c r="E16" s="51">
        <f>'数据-取费表'!B35</f>
        <v>185</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1410</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76200</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0.29999999999995453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1410</v>
      </c>
      <c r="D22" s="2323">
        <f ca="1">IF(B1="",'数据-汇总表'!E6,IF(INDIRECT("'数据-取费表'!c"&amp;$K$1)="住宅",INDIRECT("'数据-取费表'!s"&amp;$K$1),INDIRECT("'数据-取费表'!k"&amp;$K$1)+INDIRECT("'数据-取费表'!s"&amp;$K$1)))</f>
        <v>76200</v>
      </c>
      <c r="E22" s="51">
        <f>'数据-取费表'!B28</f>
        <v>185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28</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0</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0</v>
      </c>
      <c r="D26" s="453">
        <f ca="1">C27</f>
        <v>0</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0</v>
      </c>
      <c r="D29" s="454"/>
      <c r="E29" s="454"/>
      <c r="F29" s="2507">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1438.3</v>
      </c>
      <c r="D30" s="463">
        <f ca="1">C32</f>
        <v>0</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1438.3</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t="e">
        <f ca="1">ROUND((1+C25)*F33,4)</f>
        <v>#DIV/0!</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t="e">
        <f ca="1">ROUND((C18+C19+C20+C23+C24)*F33,0)</f>
        <v>#DIV/0!</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t="e">
        <f ca="1">ROUND((C6-C30-C33)/(1+D30+D33),0)</f>
        <v>#DIV/0!</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t="e">
        <f ca="1">C27</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t="e">
        <f ca="1">ROUND(B2*10000/IF(B1="",'数据-汇总表'!D3,INDIRECT("'数据-取费表'!R"&amp;$K$1)),0)</f>
        <v>#DIV/0!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t="e">
        <f ca="1">ROUND(B2/(IF(B1="",'数据-汇总表'!D3,INDIRECT("'数据-取费表'!R"&amp;$K$1))/666.67),0)</f>
        <v>#DIV/0!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0</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1410</v>
      </c>
      <c r="D16" s="437">
        <f ca="1">IF(B1="",'数据-汇总表'!E3,INDIRECT("'数据-取费表'!K"&amp;$K$1)+INDIRECT("'数据-取费表'!S"&amp;$K$1))</f>
        <v>76200</v>
      </c>
      <c r="E16" s="51">
        <f>'数据-取费表'!B35</f>
        <v>185</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1410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28</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12</v>
      </c>
      <c r="D20" s="448">
        <f ca="1">ROUND(((1+F20)^'数据-取费表'!B20)-1,4)</f>
        <v>1.7100000000000001E-2</v>
      </c>
      <c r="E20" s="448"/>
      <c r="F20" s="457">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2299</v>
      </c>
      <c r="B21" s="2502" t="s">
        <v>2107</v>
      </c>
      <c r="C21" s="464" t="e">
        <f ca="1">ROUND((C18+C19)*F21,0)</f>
        <v>#DIV/0!</v>
      </c>
      <c r="D21" s="3027"/>
      <c r="E21" s="448"/>
      <c r="F21" s="465" t="e">
        <f ca="1">IF(B1="",'数据-取费表'!Q16,INDIRECT("'数据-取费表'!q"&amp;$K$1))</f>
        <v>#DIV/0!</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t="e">
        <f ca="1">IF(B1="",'数据-取费表'!N16,INDIRECT("'数据-取费表'!N"&amp;$K$1))</f>
        <v>#DIV/0!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2300</v>
      </c>
      <c r="C23" s="3032" t="e">
        <f ca="1">ROUND((C18+C19+C20+C21)*F22,0)</f>
        <v>#DIV/0!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7" t="s">
        <v>1394</v>
      </c>
      <c r="B24" s="3898"/>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7" t="s">
        <v>2297</v>
      </c>
      <c r="B25" s="3898"/>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7" t="s">
        <v>2298</v>
      </c>
      <c r="B26" s="3898"/>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9" t="s">
        <v>2296</v>
      </c>
      <c r="B27" s="3900"/>
      <c r="C27" s="3045" t="e">
        <f ca="1">(C6-C23-C24-C25)/((1+F26)*(1+D20+F21))</f>
        <v>#DIV/0!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908" t="s">
        <v>471</v>
      </c>
      <c r="D6" s="3909"/>
      <c r="E6" s="3908" t="s">
        <v>472</v>
      </c>
      <c r="F6" s="3909"/>
      <c r="G6" s="3908" t="s">
        <v>473</v>
      </c>
      <c r="H6" s="3909"/>
      <c r="I6" s="3908" t="s">
        <v>474</v>
      </c>
      <c r="J6" s="3909"/>
      <c r="K6" s="484" t="s">
        <v>475</v>
      </c>
      <c r="L6" s="1855"/>
      <c r="M6" s="1854"/>
      <c r="N6" s="1854"/>
      <c r="O6" s="1856"/>
      <c r="P6" s="3910" t="s">
        <v>476</v>
      </c>
      <c r="Q6" s="3911"/>
      <c r="R6" s="3916" t="s">
        <v>472</v>
      </c>
      <c r="S6" s="3917"/>
      <c r="T6" s="3916" t="s">
        <v>473</v>
      </c>
      <c r="U6" s="3917"/>
      <c r="V6" s="3903" t="s">
        <v>474</v>
      </c>
      <c r="W6" s="3903"/>
      <c r="X6" s="1379"/>
      <c r="Y6" s="3916" t="s">
        <v>476</v>
      </c>
      <c r="Z6" s="3917"/>
      <c r="AA6" s="3905" t="s">
        <v>472</v>
      </c>
      <c r="AB6" s="3906" t="s">
        <v>473</v>
      </c>
      <c r="AC6" s="3905" t="s">
        <v>474</v>
      </c>
    </row>
    <row r="7" spans="1:30" ht="21">
      <c r="A7" s="485"/>
      <c r="B7" s="486"/>
      <c r="C7" s="3924" t="s">
        <v>2192</v>
      </c>
      <c r="D7" s="3925"/>
      <c r="E7" s="3924" t="s">
        <v>2193</v>
      </c>
      <c r="F7" s="3925"/>
      <c r="G7" s="3924" t="s">
        <v>2194</v>
      </c>
      <c r="H7" s="3925"/>
      <c r="I7" s="3924" t="s">
        <v>2195</v>
      </c>
      <c r="J7" s="3925"/>
      <c r="K7" s="484"/>
      <c r="L7" s="1855"/>
      <c r="M7" s="1854"/>
      <c r="N7" s="1854"/>
      <c r="O7" s="1856"/>
      <c r="P7" s="3912"/>
      <c r="Q7" s="3913"/>
      <c r="R7" s="3918"/>
      <c r="S7" s="3919"/>
      <c r="T7" s="3918"/>
      <c r="U7" s="3919"/>
      <c r="V7" s="3903"/>
      <c r="W7" s="3903"/>
      <c r="X7" s="1379"/>
      <c r="Y7" s="3918"/>
      <c r="Z7" s="3919"/>
      <c r="AA7" s="3906"/>
      <c r="AB7" s="3906"/>
      <c r="AC7" s="3906"/>
    </row>
    <row r="8" spans="1:30" ht="21.6" thickBot="1">
      <c r="A8" s="485"/>
      <c r="B8" s="486"/>
      <c r="C8" s="3926" t="s">
        <v>2196</v>
      </c>
      <c r="D8" s="3927"/>
      <c r="E8" s="3926" t="s">
        <v>2196</v>
      </c>
      <c r="F8" s="3927"/>
      <c r="G8" s="3922" t="s">
        <v>2196</v>
      </c>
      <c r="H8" s="3923"/>
      <c r="I8" s="3922" t="s">
        <v>2196</v>
      </c>
      <c r="J8" s="3923"/>
      <c r="K8" s="484" t="s">
        <v>477</v>
      </c>
      <c r="L8" s="1855"/>
      <c r="M8" s="1854"/>
      <c r="N8" s="1854"/>
      <c r="O8" s="1856"/>
      <c r="P8" s="3914"/>
      <c r="Q8" s="3915"/>
      <c r="R8" s="3918"/>
      <c r="S8" s="3919"/>
      <c r="T8" s="3920"/>
      <c r="U8" s="3921"/>
      <c r="V8" s="3903"/>
      <c r="W8" s="3903"/>
      <c r="X8" s="1379"/>
      <c r="Y8" s="3920"/>
      <c r="Z8" s="3921"/>
      <c r="AA8" s="3907"/>
      <c r="AB8" s="3907"/>
      <c r="AC8" s="3907"/>
    </row>
    <row r="9" spans="1:30" s="1117" customFormat="1" ht="21.6" thickBot="1">
      <c r="A9" s="2391"/>
      <c r="B9" s="2398" t="s">
        <v>478</v>
      </c>
      <c r="C9" s="2390">
        <f>'数据-取费表'!B2</f>
        <v>45597</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32" t="s">
        <v>479</v>
      </c>
      <c r="Q9" s="3934"/>
      <c r="R9" s="1380" t="s">
        <v>5</v>
      </c>
      <c r="S9" s="1381">
        <f t="shared" ref="S9:S17" si="0">F9</f>
        <v>0</v>
      </c>
      <c r="T9" s="1380" t="s">
        <v>5</v>
      </c>
      <c r="U9" s="1381">
        <f t="shared" ref="U9:U17" si="1">H9</f>
        <v>0</v>
      </c>
      <c r="V9" s="1380" t="s">
        <v>5</v>
      </c>
      <c r="W9" s="1381">
        <f t="shared" ref="W9:W17" si="2">J9</f>
        <v>0</v>
      </c>
      <c r="X9" s="1382"/>
      <c r="Y9" s="3932" t="s">
        <v>479</v>
      </c>
      <c r="Z9" s="3933"/>
      <c r="AA9" s="1383" t="e">
        <f>D9/F9</f>
        <v>#DIV/0!</v>
      </c>
      <c r="AB9" s="1383" t="e">
        <f>D9/H9</f>
        <v>#DIV/0!</v>
      </c>
      <c r="AC9" s="1383" t="e">
        <f>D9/J9</f>
        <v>#DIV/0!</v>
      </c>
    </row>
    <row r="10" spans="1:30" s="1117"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32" t="s">
        <v>482</v>
      </c>
      <c r="Q10" s="3933"/>
      <c r="R10" s="1380" t="s">
        <v>5</v>
      </c>
      <c r="S10" s="1381">
        <f t="shared" si="0"/>
        <v>0</v>
      </c>
      <c r="T10" s="1380" t="s">
        <v>5</v>
      </c>
      <c r="U10" s="1381">
        <f t="shared" si="1"/>
        <v>0</v>
      </c>
      <c r="V10" s="1380" t="s">
        <v>5</v>
      </c>
      <c r="W10" s="1381">
        <f t="shared" si="2"/>
        <v>0</v>
      </c>
      <c r="X10" s="1382"/>
      <c r="Y10" s="3932" t="s">
        <v>482</v>
      </c>
      <c r="Z10" s="3933"/>
      <c r="AA10" s="1383" t="e">
        <f t="shared" ref="AA10:AA47" si="3">D10/F10</f>
        <v>#DIV/0!</v>
      </c>
      <c r="AB10" s="1383" t="e">
        <f t="shared" ref="AB10:AB47" si="4">D10/H10</f>
        <v>#DIV/0!</v>
      </c>
      <c r="AC10" s="1383" t="e">
        <f t="shared" ref="AC10:AC47" si="5">D10/J10</f>
        <v>#DIV/0!</v>
      </c>
    </row>
    <row r="11" spans="1:30" s="1117"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2" t="s">
        <v>484</v>
      </c>
      <c r="Q11" s="1049" t="str">
        <f t="shared" ref="Q11:Q17" si="6">B11</f>
        <v>用途</v>
      </c>
      <c r="R11" s="1380" t="s">
        <v>5</v>
      </c>
      <c r="S11" s="1381">
        <f t="shared" si="0"/>
        <v>100</v>
      </c>
      <c r="T11" s="1380" t="s">
        <v>5</v>
      </c>
      <c r="U11" s="1381">
        <f t="shared" si="1"/>
        <v>100</v>
      </c>
      <c r="V11" s="1380" t="s">
        <v>5</v>
      </c>
      <c r="W11" s="1381">
        <f t="shared" si="2"/>
        <v>100</v>
      </c>
      <c r="X11" s="1382"/>
      <c r="Y11" s="3846" t="s">
        <v>485</v>
      </c>
      <c r="Z11" s="1048" t="str">
        <f t="shared" ref="Z11:Z17" si="7">Q11</f>
        <v>用途</v>
      </c>
      <c r="AA11" s="1383">
        <f t="shared" si="3"/>
        <v>1</v>
      </c>
      <c r="AB11" s="1383">
        <f t="shared" si="4"/>
        <v>1</v>
      </c>
      <c r="AC11" s="1383">
        <f t="shared" si="5"/>
        <v>1</v>
      </c>
    </row>
    <row r="12" spans="1:30" s="1198" customFormat="1" ht="28.8">
      <c r="A12" s="2394"/>
      <c r="B12" s="2399" t="s">
        <v>2039</v>
      </c>
      <c r="C12" s="873"/>
      <c r="D12" s="246">
        <v>100</v>
      </c>
      <c r="E12" s="499"/>
      <c r="F12" s="246" t="e">
        <f>ROUND(100/'数据-取费表'!G16,0)</f>
        <v>#DIV/0!</v>
      </c>
      <c r="G12" s="500"/>
      <c r="H12" s="246" t="e">
        <f>ROUND(100/'数据-取费表'!G16,0)</f>
        <v>#DIV/0!</v>
      </c>
      <c r="I12" s="500"/>
      <c r="J12" s="246" t="e">
        <f>ROUND(100/'数据-取费表'!G16,0)</f>
        <v>#DIV/0!</v>
      </c>
      <c r="K12" s="501"/>
      <c r="L12" s="1860"/>
      <c r="M12" s="1854"/>
      <c r="N12" s="1854"/>
      <c r="O12" s="1861"/>
      <c r="P12" s="3902"/>
      <c r="Q12" s="1049" t="str">
        <f t="shared" si="6"/>
        <v>土地使用年限（年）</v>
      </c>
      <c r="R12" s="1380" t="s">
        <v>5</v>
      </c>
      <c r="S12" s="1381" t="e">
        <f t="shared" si="0"/>
        <v>#DIV/0!</v>
      </c>
      <c r="T12" s="1380" t="s">
        <v>5</v>
      </c>
      <c r="U12" s="1381" t="e">
        <f t="shared" si="1"/>
        <v>#DIV/0!</v>
      </c>
      <c r="V12" s="1380" t="s">
        <v>5</v>
      </c>
      <c r="W12" s="1381" t="e">
        <f t="shared" si="2"/>
        <v>#DIV/0!</v>
      </c>
      <c r="X12" s="1382"/>
      <c r="Y12" s="3846"/>
      <c r="Z12" s="1048" t="str">
        <f t="shared" si="7"/>
        <v>土地使用年限（年）</v>
      </c>
      <c r="AA12" s="1383" t="e">
        <f t="shared" si="3"/>
        <v>#DIV/0!</v>
      </c>
      <c r="AB12" s="1383" t="e">
        <f t="shared" si="4"/>
        <v>#DIV/0!</v>
      </c>
      <c r="AC12" s="1383" t="e">
        <f t="shared" si="5"/>
        <v>#DIV/0!</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2"/>
      <c r="Q13" s="1049" t="str">
        <f t="shared" si="6"/>
        <v>容积率</v>
      </c>
      <c r="R13" s="1380" t="s">
        <v>5</v>
      </c>
      <c r="S13" s="1381" t="e">
        <f t="shared" si="0"/>
        <v>#N/A</v>
      </c>
      <c r="T13" s="1380" t="s">
        <v>5</v>
      </c>
      <c r="U13" s="1381" t="e">
        <f t="shared" si="1"/>
        <v>#N/A</v>
      </c>
      <c r="V13" s="1380" t="s">
        <v>5</v>
      </c>
      <c r="W13" s="1381" t="e">
        <f t="shared" si="2"/>
        <v>#N/A</v>
      </c>
      <c r="X13" s="1382"/>
      <c r="Y13" s="3846"/>
      <c r="Z13" s="1048" t="str">
        <f t="shared" si="7"/>
        <v>容积率</v>
      </c>
      <c r="AA13" s="1383" t="e">
        <f t="shared" si="3"/>
        <v>#N/A</v>
      </c>
      <c r="AB13" s="1383" t="e">
        <f t="shared" si="4"/>
        <v>#N/A</v>
      </c>
      <c r="AC13" s="1383" t="e">
        <f t="shared" si="5"/>
        <v>#N/A</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02"/>
      <c r="Q14" s="1049" t="str">
        <f t="shared" si="6"/>
        <v>配建</v>
      </c>
      <c r="R14" s="1380" t="s">
        <v>5</v>
      </c>
      <c r="S14" s="1381">
        <f t="shared" si="0"/>
        <v>100</v>
      </c>
      <c r="T14" s="1380" t="s">
        <v>5</v>
      </c>
      <c r="U14" s="1381">
        <f t="shared" si="1"/>
        <v>100</v>
      </c>
      <c r="V14" s="1380" t="s">
        <v>5</v>
      </c>
      <c r="W14" s="1381">
        <f t="shared" si="2"/>
        <v>100</v>
      </c>
      <c r="X14" s="1382"/>
      <c r="Y14" s="3846"/>
      <c r="Z14" s="1048" t="str">
        <f t="shared" si="7"/>
        <v>配建</v>
      </c>
      <c r="AA14" s="1383">
        <f>D14/F14</f>
        <v>1</v>
      </c>
      <c r="AB14" s="1383">
        <f>D14/H14</f>
        <v>1</v>
      </c>
      <c r="AC14" s="1383">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2"/>
      <c r="Q15" s="1049">
        <f t="shared" si="6"/>
        <v>111</v>
      </c>
      <c r="R15" s="1380" t="s">
        <v>5</v>
      </c>
      <c r="S15" s="1381">
        <f t="shared" si="0"/>
        <v>100</v>
      </c>
      <c r="T15" s="1380" t="s">
        <v>5</v>
      </c>
      <c r="U15" s="1381">
        <f t="shared" si="1"/>
        <v>100</v>
      </c>
      <c r="V15" s="1380" t="s">
        <v>5</v>
      </c>
      <c r="W15" s="1381">
        <f t="shared" si="2"/>
        <v>100</v>
      </c>
      <c r="X15" s="1382"/>
      <c r="Y15" s="3846"/>
      <c r="Z15" s="1048">
        <f t="shared" si="7"/>
        <v>111</v>
      </c>
      <c r="AA15" s="1383">
        <f>D15/F15</f>
        <v>1</v>
      </c>
      <c r="AB15" s="1383">
        <f>D15/H15</f>
        <v>1</v>
      </c>
      <c r="AC15" s="1383">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2"/>
      <c r="Q16" s="1049">
        <f t="shared" si="6"/>
        <v>111</v>
      </c>
      <c r="R16" s="1380" t="s">
        <v>5</v>
      </c>
      <c r="S16" s="1381">
        <f t="shared" si="0"/>
        <v>100</v>
      </c>
      <c r="T16" s="1380" t="s">
        <v>5</v>
      </c>
      <c r="U16" s="1381">
        <f t="shared" si="1"/>
        <v>100</v>
      </c>
      <c r="V16" s="1380" t="s">
        <v>5</v>
      </c>
      <c r="W16" s="1381">
        <f t="shared" si="2"/>
        <v>100</v>
      </c>
      <c r="X16" s="1382"/>
      <c r="Y16" s="3846"/>
      <c r="Z16" s="1048">
        <f t="shared" si="7"/>
        <v>111</v>
      </c>
      <c r="AA16" s="1383">
        <f>D16/F16</f>
        <v>1</v>
      </c>
      <c r="AB16" s="1383">
        <f>D16/H16</f>
        <v>1</v>
      </c>
      <c r="AC16" s="1383">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35" t="s">
        <v>489</v>
      </c>
      <c r="Q17" s="1384" t="str">
        <f t="shared" si="6"/>
        <v>居住社区成熟度</v>
      </c>
      <c r="R17" s="1385" t="s">
        <v>5</v>
      </c>
      <c r="S17" s="1386">
        <f t="shared" si="0"/>
        <v>100</v>
      </c>
      <c r="T17" s="1385" t="s">
        <v>5</v>
      </c>
      <c r="U17" s="1386">
        <f t="shared" si="1"/>
        <v>100</v>
      </c>
      <c r="V17" s="1385" t="s">
        <v>5</v>
      </c>
      <c r="W17" s="1386">
        <f t="shared" si="2"/>
        <v>100</v>
      </c>
      <c r="X17" s="1379"/>
      <c r="Y17" s="3935" t="s">
        <v>489</v>
      </c>
      <c r="Z17" s="1387" t="str">
        <f t="shared" si="7"/>
        <v>居住社区成熟度</v>
      </c>
      <c r="AA17" s="1388">
        <f t="shared" si="3"/>
        <v>1</v>
      </c>
      <c r="AB17" s="1388">
        <f t="shared" si="4"/>
        <v>1</v>
      </c>
      <c r="AC17" s="1388">
        <f t="shared" si="5"/>
        <v>1</v>
      </c>
    </row>
    <row r="18" spans="1:29" ht="21">
      <c r="A18" s="502"/>
      <c r="B18" s="523"/>
      <c r="C18" s="524"/>
      <c r="D18" s="527"/>
      <c r="E18" s="528"/>
      <c r="F18" s="525"/>
      <c r="G18" s="526"/>
      <c r="H18" s="529"/>
      <c r="I18" s="528"/>
      <c r="J18" s="525"/>
      <c r="K18" s="501"/>
      <c r="L18" s="1864"/>
      <c r="M18" s="1854"/>
      <c r="N18" s="1854"/>
      <c r="O18" s="1863"/>
      <c r="P18" s="3936"/>
      <c r="Q18" s="1384"/>
      <c r="R18" s="1385"/>
      <c r="S18" s="1386"/>
      <c r="T18" s="1385"/>
      <c r="U18" s="1386"/>
      <c r="V18" s="1385"/>
      <c r="W18" s="1386"/>
      <c r="X18" s="1379"/>
      <c r="Y18" s="3936"/>
      <c r="Z18" s="1387"/>
      <c r="AA18" s="1388">
        <v>1</v>
      </c>
      <c r="AB18" s="1388">
        <v>1</v>
      </c>
      <c r="AC18" s="1388">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36"/>
      <c r="Q19" s="1384" t="str">
        <f>B19</f>
        <v>商业繁华度</v>
      </c>
      <c r="R19" s="1385" t="s">
        <v>5</v>
      </c>
      <c r="S19" s="1386">
        <f>F19</f>
        <v>100</v>
      </c>
      <c r="T19" s="1385" t="s">
        <v>5</v>
      </c>
      <c r="U19" s="1386">
        <f>H19</f>
        <v>100</v>
      </c>
      <c r="V19" s="1385" t="s">
        <v>5</v>
      </c>
      <c r="W19" s="1386">
        <f>J19</f>
        <v>100</v>
      </c>
      <c r="X19" s="1379"/>
      <c r="Y19" s="3936"/>
      <c r="Z19" s="1387" t="str">
        <f>Q19</f>
        <v>商业繁华度</v>
      </c>
      <c r="AA19" s="1388">
        <f t="shared" si="3"/>
        <v>1</v>
      </c>
      <c r="AB19" s="1388">
        <f t="shared" si="4"/>
        <v>1</v>
      </c>
      <c r="AC19" s="1388">
        <f t="shared" si="5"/>
        <v>1</v>
      </c>
    </row>
    <row r="20" spans="1:29" ht="21">
      <c r="A20" s="502"/>
      <c r="B20" s="536"/>
      <c r="C20" s="537"/>
      <c r="D20" s="533"/>
      <c r="E20" s="539"/>
      <c r="F20" s="529"/>
      <c r="G20" s="538"/>
      <c r="H20" s="525"/>
      <c r="I20" s="539"/>
      <c r="J20" s="525"/>
      <c r="K20" s="501"/>
      <c r="L20" s="1864"/>
      <c r="M20" s="1854"/>
      <c r="N20" s="1854"/>
      <c r="O20" s="1863"/>
      <c r="P20" s="3936"/>
      <c r="Q20" s="1384"/>
      <c r="R20" s="1385"/>
      <c r="S20" s="1386"/>
      <c r="T20" s="1385"/>
      <c r="U20" s="1386"/>
      <c r="V20" s="1385"/>
      <c r="W20" s="1386"/>
      <c r="X20" s="1379"/>
      <c r="Y20" s="3936"/>
      <c r="Z20" s="1387"/>
      <c r="AA20" s="1388">
        <v>1</v>
      </c>
      <c r="AB20" s="1388">
        <v>1</v>
      </c>
      <c r="AC20" s="1388">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36"/>
      <c r="Q21" s="1384" t="str">
        <f>B21</f>
        <v>办公集聚程度</v>
      </c>
      <c r="R21" s="1385" t="s">
        <v>5</v>
      </c>
      <c r="S21" s="1386">
        <f>F21</f>
        <v>100</v>
      </c>
      <c r="T21" s="1385" t="s">
        <v>5</v>
      </c>
      <c r="U21" s="1386">
        <f>H21</f>
        <v>100</v>
      </c>
      <c r="V21" s="1385" t="s">
        <v>5</v>
      </c>
      <c r="W21" s="1386">
        <f>J21</f>
        <v>100</v>
      </c>
      <c r="X21" s="1379"/>
      <c r="Y21" s="3936"/>
      <c r="Z21" s="1387" t="str">
        <f>Q21</f>
        <v>办公集聚程度</v>
      </c>
      <c r="AA21" s="1388">
        <f t="shared" si="3"/>
        <v>1</v>
      </c>
      <c r="AB21" s="1388">
        <f t="shared" si="4"/>
        <v>1</v>
      </c>
      <c r="AC21" s="1388">
        <f t="shared" si="5"/>
        <v>1</v>
      </c>
    </row>
    <row r="22" spans="1:29" ht="21">
      <c r="A22" s="502"/>
      <c r="B22" s="536"/>
      <c r="C22" s="524"/>
      <c r="D22" s="527"/>
      <c r="E22" s="528"/>
      <c r="F22" s="525"/>
      <c r="G22" s="526"/>
      <c r="H22" s="525"/>
      <c r="I22" s="528"/>
      <c r="J22" s="525"/>
      <c r="K22" s="501"/>
      <c r="L22" s="1864"/>
      <c r="M22" s="1854"/>
      <c r="N22" s="1854"/>
      <c r="O22" s="1863"/>
      <c r="P22" s="3936"/>
      <c r="Q22" s="1384"/>
      <c r="R22" s="1385"/>
      <c r="S22" s="1386"/>
      <c r="T22" s="1385"/>
      <c r="U22" s="1386"/>
      <c r="V22" s="1385"/>
      <c r="W22" s="1386"/>
      <c r="X22" s="1379"/>
      <c r="Y22" s="3936"/>
      <c r="Z22" s="1387"/>
      <c r="AA22" s="1388">
        <v>1</v>
      </c>
      <c r="AB22" s="1388">
        <v>1</v>
      </c>
      <c r="AC22" s="1388">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36"/>
      <c r="Q23" s="1384" t="str">
        <f>B23</f>
        <v>交通便捷度</v>
      </c>
      <c r="R23" s="1385" t="s">
        <v>5</v>
      </c>
      <c r="S23" s="1386">
        <f>F23</f>
        <v>100</v>
      </c>
      <c r="T23" s="1385" t="s">
        <v>5</v>
      </c>
      <c r="U23" s="1386">
        <f>H23</f>
        <v>100</v>
      </c>
      <c r="V23" s="1385" t="s">
        <v>5</v>
      </c>
      <c r="W23" s="1386">
        <f>J23</f>
        <v>100</v>
      </c>
      <c r="X23" s="1379"/>
      <c r="Y23" s="3936"/>
      <c r="Z23" s="1387" t="str">
        <f>Q23</f>
        <v>交通便捷度</v>
      </c>
      <c r="AA23" s="1388">
        <f t="shared" si="3"/>
        <v>1</v>
      </c>
      <c r="AB23" s="1388">
        <f t="shared" si="4"/>
        <v>1</v>
      </c>
      <c r="AC23" s="1388">
        <f t="shared" si="5"/>
        <v>1</v>
      </c>
    </row>
    <row r="24" spans="1:29" ht="21">
      <c r="A24" s="502"/>
      <c r="B24" s="548"/>
      <c r="C24" s="524"/>
      <c r="D24" s="527"/>
      <c r="E24" s="528"/>
      <c r="F24" s="525"/>
      <c r="G24" s="526"/>
      <c r="H24" s="525"/>
      <c r="I24" s="528"/>
      <c r="J24" s="525"/>
      <c r="K24" s="501"/>
      <c r="L24" s="1864"/>
      <c r="M24" s="1854"/>
      <c r="N24" s="1854"/>
      <c r="O24" s="1863"/>
      <c r="P24" s="3936"/>
      <c r="Q24" s="1384"/>
      <c r="R24" s="1385"/>
      <c r="S24" s="1386"/>
      <c r="T24" s="1385"/>
      <c r="U24" s="1386"/>
      <c r="V24" s="1385"/>
      <c r="W24" s="1386"/>
      <c r="X24" s="1379"/>
      <c r="Y24" s="3936"/>
      <c r="Z24" s="1387"/>
      <c r="AA24" s="1388">
        <v>1</v>
      </c>
      <c r="AB24" s="1388">
        <v>1</v>
      </c>
      <c r="AC24" s="1388">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36"/>
      <c r="Q25" s="1384" t="str">
        <f t="shared" ref="Q25:Q39" si="8">B25</f>
        <v>区域土地利用方向</v>
      </c>
      <c r="R25" s="1385" t="s">
        <v>5</v>
      </c>
      <c r="S25" s="1386">
        <f>F25</f>
        <v>100</v>
      </c>
      <c r="T25" s="1385" t="s">
        <v>5</v>
      </c>
      <c r="U25" s="1386">
        <f>H25</f>
        <v>100</v>
      </c>
      <c r="V25" s="1385" t="s">
        <v>5</v>
      </c>
      <c r="W25" s="1386">
        <f>J25</f>
        <v>100</v>
      </c>
      <c r="X25" s="1379"/>
      <c r="Y25" s="3936"/>
      <c r="Z25" s="1387" t="str">
        <f>Q25</f>
        <v>区域土地利用方向</v>
      </c>
      <c r="AA25" s="1388">
        <f t="shared" si="3"/>
        <v>1</v>
      </c>
      <c r="AB25" s="1388">
        <f t="shared" si="4"/>
        <v>1</v>
      </c>
      <c r="AC25" s="1388">
        <f t="shared" si="5"/>
        <v>1</v>
      </c>
    </row>
    <row r="26" spans="1:29" ht="21">
      <c r="A26" s="485"/>
      <c r="B26" s="968"/>
      <c r="C26" s="524"/>
      <c r="D26" s="527"/>
      <c r="E26" s="528"/>
      <c r="F26" s="525"/>
      <c r="G26" s="526"/>
      <c r="H26" s="525"/>
      <c r="I26" s="528"/>
      <c r="J26" s="525"/>
      <c r="K26" s="501"/>
      <c r="L26" s="1864"/>
      <c r="M26" s="1854"/>
      <c r="N26" s="1854"/>
      <c r="O26" s="1863"/>
      <c r="P26" s="3936"/>
      <c r="Q26" s="1384"/>
      <c r="R26" s="1385"/>
      <c r="S26" s="1386"/>
      <c r="T26" s="1385"/>
      <c r="U26" s="1386"/>
      <c r="V26" s="1385"/>
      <c r="W26" s="1386"/>
      <c r="X26" s="1379"/>
      <c r="Y26" s="3936"/>
      <c r="Z26" s="1387"/>
      <c r="AA26" s="1388"/>
      <c r="AB26" s="1388"/>
      <c r="AC26" s="1388"/>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36"/>
      <c r="Q27" s="1384" t="str">
        <f t="shared" si="8"/>
        <v>自然及人文环境状况</v>
      </c>
      <c r="R27" s="1385" t="s">
        <v>5</v>
      </c>
      <c r="S27" s="1386">
        <f>F27</f>
        <v>100</v>
      </c>
      <c r="T27" s="1385" t="s">
        <v>5</v>
      </c>
      <c r="U27" s="1386">
        <f>H27</f>
        <v>100</v>
      </c>
      <c r="V27" s="1385" t="s">
        <v>5</v>
      </c>
      <c r="W27" s="1386">
        <f>J27</f>
        <v>100</v>
      </c>
      <c r="X27" s="1379"/>
      <c r="Y27" s="3936"/>
      <c r="Z27" s="1387" t="str">
        <f>Q27</f>
        <v>自然及人文环境状况</v>
      </c>
      <c r="AA27" s="1388">
        <f t="shared" si="3"/>
        <v>1</v>
      </c>
      <c r="AB27" s="1388">
        <f t="shared" si="4"/>
        <v>1</v>
      </c>
      <c r="AC27" s="1388">
        <f t="shared" si="5"/>
        <v>1</v>
      </c>
    </row>
    <row r="28" spans="1:29" ht="21">
      <c r="A28" s="485"/>
      <c r="B28" s="536"/>
      <c r="C28" s="524"/>
      <c r="D28" s="527"/>
      <c r="E28" s="546"/>
      <c r="F28" s="525"/>
      <c r="G28" s="524"/>
      <c r="H28" s="525"/>
      <c r="I28" s="546"/>
      <c r="J28" s="525"/>
      <c r="K28" s="501"/>
      <c r="L28" s="1864"/>
      <c r="M28" s="1854"/>
      <c r="N28" s="1854"/>
      <c r="O28" s="1863"/>
      <c r="P28" s="3936"/>
      <c r="Q28" s="1384"/>
      <c r="R28" s="1385"/>
      <c r="S28" s="1386"/>
      <c r="T28" s="1385"/>
      <c r="U28" s="1386"/>
      <c r="V28" s="1385"/>
      <c r="W28" s="1386"/>
      <c r="X28" s="1379"/>
      <c r="Y28" s="3936"/>
      <c r="Z28" s="1387"/>
      <c r="AA28" s="1388">
        <v>1</v>
      </c>
      <c r="AB28" s="1388">
        <v>1</v>
      </c>
      <c r="AC28" s="1388">
        <v>1</v>
      </c>
    </row>
    <row r="29" spans="1:29" s="1117"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36"/>
      <c r="Q29" s="1049" t="str">
        <f t="shared" si="8"/>
        <v>公共配套设施</v>
      </c>
      <c r="R29" s="1380" t="s">
        <v>5</v>
      </c>
      <c r="S29" s="1381">
        <f>F29</f>
        <v>100</v>
      </c>
      <c r="T29" s="1380" t="s">
        <v>5</v>
      </c>
      <c r="U29" s="1381">
        <f>H29</f>
        <v>100</v>
      </c>
      <c r="V29" s="1380" t="s">
        <v>5</v>
      </c>
      <c r="W29" s="1381">
        <f>J29</f>
        <v>100</v>
      </c>
      <c r="X29" s="1382"/>
      <c r="Y29" s="3936"/>
      <c r="Z29" s="1048" t="str">
        <f>Q29</f>
        <v>公共配套设施</v>
      </c>
      <c r="AA29" s="1388">
        <f>D29/F29</f>
        <v>1</v>
      </c>
      <c r="AB29" s="1388">
        <f>D29/H29</f>
        <v>1</v>
      </c>
      <c r="AC29" s="1388">
        <f>D29/J29</f>
        <v>1</v>
      </c>
    </row>
    <row r="30" spans="1:29" s="1117" customFormat="1" ht="21">
      <c r="A30" s="547"/>
      <c r="B30" s="536"/>
      <c r="C30" s="549"/>
      <c r="D30" s="527"/>
      <c r="E30" s="546"/>
      <c r="F30" s="525"/>
      <c r="G30" s="524"/>
      <c r="H30" s="525"/>
      <c r="I30" s="546"/>
      <c r="J30" s="525"/>
      <c r="K30" s="501"/>
      <c r="L30" s="1857"/>
      <c r="M30" s="1854"/>
      <c r="N30" s="1854"/>
      <c r="O30" s="1859"/>
      <c r="P30" s="3936"/>
      <c r="Q30" s="1049"/>
      <c r="R30" s="1380"/>
      <c r="S30" s="1381"/>
      <c r="T30" s="1380"/>
      <c r="U30" s="1381"/>
      <c r="V30" s="1380"/>
      <c r="W30" s="1381"/>
      <c r="X30" s="1382"/>
      <c r="Y30" s="3936"/>
      <c r="Z30" s="1048"/>
      <c r="AA30" s="1388">
        <v>1</v>
      </c>
      <c r="AB30" s="1388">
        <v>1</v>
      </c>
      <c r="AC30" s="1388">
        <v>1</v>
      </c>
    </row>
    <row r="31" spans="1:29" s="1117"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36"/>
      <c r="Q31" s="2191" t="str">
        <f>B31</f>
        <v>基础设施水平</v>
      </c>
      <c r="R31" s="1380" t="s">
        <v>5</v>
      </c>
      <c r="S31" s="1381">
        <f>F31</f>
        <v>100</v>
      </c>
      <c r="T31" s="1380" t="s">
        <v>5</v>
      </c>
      <c r="U31" s="1381">
        <f>H31</f>
        <v>100</v>
      </c>
      <c r="V31" s="1380" t="s">
        <v>5</v>
      </c>
      <c r="W31" s="1381">
        <f>J31</f>
        <v>100</v>
      </c>
      <c r="X31" s="1382"/>
      <c r="Y31" s="3936"/>
      <c r="Z31" s="2190" t="str">
        <f>Q31</f>
        <v>基础设施水平</v>
      </c>
      <c r="AA31" s="1388">
        <f>D31/F31</f>
        <v>1</v>
      </c>
      <c r="AB31" s="1388">
        <f>D31/H31</f>
        <v>1</v>
      </c>
      <c r="AC31" s="1388">
        <f>D31/J31</f>
        <v>1</v>
      </c>
    </row>
    <row r="32" spans="1:29" s="1117" customFormat="1" ht="21">
      <c r="A32" s="547"/>
      <c r="B32" s="536"/>
      <c r="C32" s="549"/>
      <c r="D32" s="527"/>
      <c r="E32" s="2199"/>
      <c r="F32" s="525"/>
      <c r="G32" s="549"/>
      <c r="H32" s="525"/>
      <c r="I32" s="549"/>
      <c r="J32" s="525"/>
      <c r="K32" s="501"/>
      <c r="L32" s="1857"/>
      <c r="M32" s="1854"/>
      <c r="N32" s="1854"/>
      <c r="O32" s="1859"/>
      <c r="P32" s="3936"/>
      <c r="Q32" s="2191"/>
      <c r="R32" s="1380"/>
      <c r="S32" s="1381"/>
      <c r="T32" s="1380"/>
      <c r="U32" s="1381"/>
      <c r="V32" s="1380"/>
      <c r="W32" s="1381"/>
      <c r="X32" s="1382"/>
      <c r="Y32" s="3936"/>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36"/>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36"/>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36"/>
      <c r="Q34" s="1384" t="str">
        <f t="shared" si="8"/>
        <v>毗邻道路的类型与等级</v>
      </c>
      <c r="R34" s="1385" t="s">
        <v>5</v>
      </c>
      <c r="S34" s="1386">
        <f t="shared" si="9"/>
        <v>100</v>
      </c>
      <c r="T34" s="1385" t="s">
        <v>5</v>
      </c>
      <c r="U34" s="1386">
        <f t="shared" si="10"/>
        <v>100</v>
      </c>
      <c r="V34" s="1385" t="s">
        <v>5</v>
      </c>
      <c r="W34" s="1386">
        <f t="shared" si="11"/>
        <v>100</v>
      </c>
      <c r="X34" s="1379"/>
      <c r="Y34" s="3936"/>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936"/>
      <c r="Q35" s="1384"/>
      <c r="R35" s="1385"/>
      <c r="S35" s="1386"/>
      <c r="T35" s="1385"/>
      <c r="U35" s="1386"/>
      <c r="V35" s="1385"/>
      <c r="W35" s="1386"/>
      <c r="X35" s="1379"/>
      <c r="Y35" s="3936"/>
      <c r="Z35" s="1387"/>
      <c r="AA35" s="1388">
        <v>1</v>
      </c>
      <c r="AB35" s="1388">
        <v>1</v>
      </c>
      <c r="AC35" s="1388">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36"/>
      <c r="Q36" s="1384" t="str">
        <f t="shared" si="8"/>
        <v>土地级别</v>
      </c>
      <c r="R36" s="1385" t="s">
        <v>5</v>
      </c>
      <c r="S36" s="1386">
        <f t="shared" si="9"/>
        <v>100</v>
      </c>
      <c r="T36" s="1385" t="s">
        <v>5</v>
      </c>
      <c r="U36" s="1386">
        <f t="shared" si="10"/>
        <v>100</v>
      </c>
      <c r="V36" s="1385" t="s">
        <v>5</v>
      </c>
      <c r="W36" s="1386">
        <f t="shared" si="11"/>
        <v>100</v>
      </c>
      <c r="X36" s="1379"/>
      <c r="Y36" s="3936"/>
      <c r="Z36" s="1387" t="str">
        <f t="shared" si="12"/>
        <v>土地级别</v>
      </c>
      <c r="AA36" s="1388">
        <f t="shared" si="3"/>
        <v>1</v>
      </c>
      <c r="AB36" s="1388">
        <f t="shared" si="4"/>
        <v>1</v>
      </c>
      <c r="AC36" s="1388">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36"/>
      <c r="Q37" s="1384">
        <f t="shared" si="8"/>
        <v>111</v>
      </c>
      <c r="R37" s="1385" t="s">
        <v>5</v>
      </c>
      <c r="S37" s="1386">
        <f t="shared" si="9"/>
        <v>100</v>
      </c>
      <c r="T37" s="1385" t="s">
        <v>5</v>
      </c>
      <c r="U37" s="1386">
        <f t="shared" si="10"/>
        <v>100</v>
      </c>
      <c r="V37" s="1385" t="s">
        <v>5</v>
      </c>
      <c r="W37" s="1386">
        <f t="shared" si="11"/>
        <v>100</v>
      </c>
      <c r="X37" s="1379"/>
      <c r="Y37" s="3936"/>
      <c r="Z37" s="1387">
        <f t="shared" si="12"/>
        <v>111</v>
      </c>
      <c r="AA37" s="1388">
        <f t="shared" si="3"/>
        <v>1</v>
      </c>
      <c r="AB37" s="1388">
        <f t="shared" si="4"/>
        <v>1</v>
      </c>
      <c r="AC37" s="1388">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37" t="s">
        <v>499</v>
      </c>
      <c r="Q38" s="1384">
        <f t="shared" si="8"/>
        <v>111</v>
      </c>
      <c r="R38" s="1385" t="s">
        <v>5</v>
      </c>
      <c r="S38" s="1386">
        <f t="shared" si="9"/>
        <v>100</v>
      </c>
      <c r="T38" s="1385" t="s">
        <v>5</v>
      </c>
      <c r="U38" s="1386">
        <f t="shared" si="10"/>
        <v>100</v>
      </c>
      <c r="V38" s="1385" t="s">
        <v>5</v>
      </c>
      <c r="W38" s="1386">
        <f t="shared" si="11"/>
        <v>100</v>
      </c>
      <c r="X38" s="1379"/>
      <c r="Y38" s="3938" t="s">
        <v>499</v>
      </c>
      <c r="Z38" s="1387">
        <f t="shared" si="12"/>
        <v>111</v>
      </c>
      <c r="AA38" s="1388">
        <f t="shared" si="3"/>
        <v>1</v>
      </c>
      <c r="AB38" s="1388">
        <f t="shared" si="4"/>
        <v>1</v>
      </c>
      <c r="AC38" s="1388">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8"/>
      <c r="Q39" s="1384">
        <f t="shared" si="8"/>
        <v>111</v>
      </c>
      <c r="R39" s="1389" t="s">
        <v>5</v>
      </c>
      <c r="S39" s="1390">
        <f t="shared" si="9"/>
        <v>100</v>
      </c>
      <c r="T39" s="1389" t="s">
        <v>5</v>
      </c>
      <c r="U39" s="1390">
        <f t="shared" si="10"/>
        <v>100</v>
      </c>
      <c r="V39" s="1389" t="s">
        <v>5</v>
      </c>
      <c r="W39" s="1390">
        <f t="shared" si="11"/>
        <v>100</v>
      </c>
      <c r="X39" s="1391"/>
      <c r="Y39" s="3938"/>
      <c r="Z39" s="1392">
        <f t="shared" si="12"/>
        <v>111</v>
      </c>
      <c r="AA39" s="1388">
        <f t="shared" si="3"/>
        <v>1</v>
      </c>
      <c r="AB39" s="1388">
        <f t="shared" si="4"/>
        <v>1</v>
      </c>
      <c r="AC39" s="1388">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38"/>
      <c r="Q40" s="1384" t="str">
        <f>B40</f>
        <v>宗地面积</v>
      </c>
      <c r="R40" s="1385" t="s">
        <v>5</v>
      </c>
      <c r="S40" s="1386" t="e">
        <f t="shared" si="9"/>
        <v>#N/A</v>
      </c>
      <c r="T40" s="1385" t="s">
        <v>5</v>
      </c>
      <c r="U40" s="1386" t="e">
        <f t="shared" si="10"/>
        <v>#N/A</v>
      </c>
      <c r="V40" s="1385" t="s">
        <v>5</v>
      </c>
      <c r="W40" s="1386" t="e">
        <f t="shared" si="11"/>
        <v>#N/A</v>
      </c>
      <c r="X40" s="1379"/>
      <c r="Y40" s="3938"/>
      <c r="Z40" s="1387" t="str">
        <f t="shared" si="12"/>
        <v>宗地面积</v>
      </c>
      <c r="AA40" s="1388" t="e">
        <f t="shared" si="3"/>
        <v>#N/A</v>
      </c>
      <c r="AB40" s="1388" t="e">
        <f t="shared" si="4"/>
        <v>#N/A</v>
      </c>
      <c r="AC40" s="1388"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38"/>
      <c r="Q41" s="1384" t="str">
        <f t="shared" ref="Q41:Q47" si="13">B41</f>
        <v>宗地形状</v>
      </c>
      <c r="R41" s="1385" t="s">
        <v>5</v>
      </c>
      <c r="S41" s="1386">
        <f t="shared" si="9"/>
        <v>100</v>
      </c>
      <c r="T41" s="1385" t="s">
        <v>5</v>
      </c>
      <c r="U41" s="1386">
        <f t="shared" si="10"/>
        <v>100</v>
      </c>
      <c r="V41" s="1385" t="s">
        <v>5</v>
      </c>
      <c r="W41" s="1386">
        <f t="shared" si="11"/>
        <v>100</v>
      </c>
      <c r="X41" s="1379"/>
      <c r="Y41" s="3938"/>
      <c r="Z41" s="1387" t="str">
        <f t="shared" si="12"/>
        <v>宗地形状</v>
      </c>
      <c r="AA41" s="1388">
        <f t="shared" si="3"/>
        <v>1</v>
      </c>
      <c r="AB41" s="1388">
        <f t="shared" si="4"/>
        <v>1</v>
      </c>
      <c r="AC41" s="1388">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8"/>
      <c r="Q42" s="1384" t="str">
        <f t="shared" si="13"/>
        <v>临街宽度及深度</v>
      </c>
      <c r="R42" s="1385" t="s">
        <v>5</v>
      </c>
      <c r="S42" s="1386">
        <f t="shared" si="9"/>
        <v>100</v>
      </c>
      <c r="T42" s="1385" t="s">
        <v>5</v>
      </c>
      <c r="U42" s="1386">
        <f t="shared" si="10"/>
        <v>100</v>
      </c>
      <c r="V42" s="1385" t="s">
        <v>5</v>
      </c>
      <c r="W42" s="1386">
        <f t="shared" si="11"/>
        <v>100</v>
      </c>
      <c r="X42" s="1379"/>
      <c r="Y42" s="3938"/>
      <c r="Z42" s="1387" t="str">
        <f t="shared" si="12"/>
        <v>临街宽度及深度</v>
      </c>
      <c r="AA42" s="1388">
        <f t="shared" si="3"/>
        <v>1</v>
      </c>
      <c r="AB42" s="1388">
        <f t="shared" si="4"/>
        <v>1</v>
      </c>
      <c r="AC42" s="1388">
        <f t="shared" si="5"/>
        <v>1</v>
      </c>
    </row>
    <row r="43" spans="1:29" s="1117" customFormat="1" ht="21">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38"/>
      <c r="Q43" s="1384" t="str">
        <f t="shared" si="13"/>
        <v>宗地开发程度</v>
      </c>
      <c r="R43" s="1380" t="s">
        <v>5</v>
      </c>
      <c r="S43" s="1381">
        <f t="shared" si="9"/>
        <v>100</v>
      </c>
      <c r="T43" s="1380" t="s">
        <v>5</v>
      </c>
      <c r="U43" s="1381">
        <f t="shared" si="10"/>
        <v>100</v>
      </c>
      <c r="V43" s="1380" t="s">
        <v>5</v>
      </c>
      <c r="W43" s="1381">
        <f t="shared" si="11"/>
        <v>100</v>
      </c>
      <c r="X43" s="1382"/>
      <c r="Y43" s="3938"/>
      <c r="Z43" s="1048" t="str">
        <f t="shared" si="12"/>
        <v>宗地开发程度</v>
      </c>
      <c r="AA43" s="1383">
        <f t="shared" si="3"/>
        <v>1</v>
      </c>
      <c r="AB43" s="1383">
        <f t="shared" si="4"/>
        <v>1</v>
      </c>
      <c r="AC43" s="1383">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38" t="s">
        <v>499</v>
      </c>
      <c r="Q44" s="1384" t="str">
        <f t="shared" si="13"/>
        <v>工程地质条件</v>
      </c>
      <c r="R44" s="1385" t="s">
        <v>5</v>
      </c>
      <c r="S44" s="1386">
        <f t="shared" si="9"/>
        <v>100</v>
      </c>
      <c r="T44" s="1385" t="s">
        <v>5</v>
      </c>
      <c r="U44" s="1386">
        <f t="shared" si="10"/>
        <v>100</v>
      </c>
      <c r="V44" s="1385" t="s">
        <v>5</v>
      </c>
      <c r="W44" s="1386">
        <f t="shared" si="11"/>
        <v>100</v>
      </c>
      <c r="X44" s="1379"/>
      <c r="Y44" s="3938" t="s">
        <v>499</v>
      </c>
      <c r="Z44" s="1387" t="str">
        <f t="shared" si="12"/>
        <v>工程地质条件</v>
      </c>
      <c r="AA44" s="1388">
        <f t="shared" si="3"/>
        <v>1</v>
      </c>
      <c r="AB44" s="1388">
        <f t="shared" si="4"/>
        <v>1</v>
      </c>
      <c r="AC44" s="1388">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8"/>
      <c r="Q45" s="1384">
        <f t="shared" si="13"/>
        <v>111</v>
      </c>
      <c r="R45" s="1385" t="s">
        <v>5</v>
      </c>
      <c r="S45" s="1386">
        <f t="shared" si="9"/>
        <v>100</v>
      </c>
      <c r="T45" s="1385" t="s">
        <v>5</v>
      </c>
      <c r="U45" s="1386">
        <f t="shared" si="10"/>
        <v>100</v>
      </c>
      <c r="V45" s="1385" t="s">
        <v>5</v>
      </c>
      <c r="W45" s="1386">
        <f t="shared" si="11"/>
        <v>100</v>
      </c>
      <c r="X45" s="1379"/>
      <c r="Y45" s="3938"/>
      <c r="Z45" s="1387">
        <f t="shared" si="12"/>
        <v>111</v>
      </c>
      <c r="AA45" s="1388">
        <f t="shared" si="3"/>
        <v>1</v>
      </c>
      <c r="AB45" s="1388">
        <f t="shared" si="4"/>
        <v>1</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8"/>
      <c r="Q46" s="1384">
        <f t="shared" si="13"/>
        <v>111</v>
      </c>
      <c r="R46" s="1385" t="s">
        <v>5</v>
      </c>
      <c r="S46" s="1386">
        <f t="shared" si="9"/>
        <v>100</v>
      </c>
      <c r="T46" s="1385" t="s">
        <v>5</v>
      </c>
      <c r="U46" s="1386">
        <f t="shared" si="10"/>
        <v>100</v>
      </c>
      <c r="V46" s="1385" t="s">
        <v>5</v>
      </c>
      <c r="W46" s="1386">
        <f t="shared" si="11"/>
        <v>100</v>
      </c>
      <c r="X46" s="1379"/>
      <c r="Y46" s="3938"/>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8"/>
      <c r="Q47" s="1384">
        <f t="shared" si="13"/>
        <v>111</v>
      </c>
      <c r="R47" s="1389" t="s">
        <v>5</v>
      </c>
      <c r="S47" s="1390">
        <f t="shared" si="9"/>
        <v>100</v>
      </c>
      <c r="T47" s="1389" t="s">
        <v>5</v>
      </c>
      <c r="U47" s="1390">
        <f t="shared" si="10"/>
        <v>100</v>
      </c>
      <c r="V47" s="1389" t="s">
        <v>5</v>
      </c>
      <c r="W47" s="1390">
        <f t="shared" si="11"/>
        <v>100</v>
      </c>
      <c r="X47" s="1391"/>
      <c r="Y47" s="3938"/>
      <c r="Z47" s="1392">
        <f t="shared" si="12"/>
        <v>111</v>
      </c>
      <c r="AA47" s="1388">
        <f t="shared" si="3"/>
        <v>1</v>
      </c>
      <c r="AB47" s="1388">
        <f t="shared" si="4"/>
        <v>1</v>
      </c>
      <c r="AC47" s="1388">
        <f t="shared" si="5"/>
        <v>1</v>
      </c>
    </row>
    <row r="48" spans="1:29" ht="21">
      <c r="A48" s="577" t="s">
        <v>505</v>
      </c>
      <c r="B48" s="578" t="s">
        <v>2197</v>
      </c>
      <c r="C48" s="579" t="s">
        <v>0</v>
      </c>
      <c r="D48" s="580"/>
      <c r="E48" s="581"/>
      <c r="F48" s="582"/>
      <c r="G48" s="583"/>
      <c r="H48" s="584"/>
      <c r="I48" s="581"/>
      <c r="J48" s="584"/>
      <c r="K48" s="1200"/>
      <c r="L48" s="1866"/>
      <c r="M48" s="1854"/>
      <c r="N48" s="1854"/>
      <c r="O48" s="1867"/>
      <c r="P48" s="3902" t="str">
        <f>A48</f>
        <v>成交单价</v>
      </c>
      <c r="Q48" s="3902"/>
      <c r="R48" s="3903">
        <f>E48</f>
        <v>0</v>
      </c>
      <c r="S48" s="3903"/>
      <c r="T48" s="3903">
        <f>G48</f>
        <v>0</v>
      </c>
      <c r="U48" s="3903"/>
      <c r="V48" s="3903">
        <f>I48</f>
        <v>0</v>
      </c>
      <c r="W48" s="3903"/>
      <c r="X48" s="1374"/>
      <c r="Y48" s="1393"/>
      <c r="Z48" s="1374"/>
      <c r="AA48" s="1374"/>
      <c r="AB48" s="1374"/>
      <c r="AC48" s="1374"/>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6"/>
      <c r="M49" s="1854"/>
      <c r="N49" s="1854"/>
      <c r="O49" s="1867"/>
      <c r="P49" s="3902" t="str">
        <f>A49</f>
        <v>比较价格（元/平方米）</v>
      </c>
      <c r="Q49" s="3902"/>
      <c r="R49" s="3904" t="e">
        <f>ROUND(PRODUCT(R48,AA9:AA47),0)</f>
        <v>#DIV/0!</v>
      </c>
      <c r="S49" s="3904"/>
      <c r="T49" s="3904" t="e">
        <f>ROUND(PRODUCT(T48,AB9:AB47),0)</f>
        <v>#DIV/0!</v>
      </c>
      <c r="U49" s="3904"/>
      <c r="V49" s="3904" t="e">
        <f>ROUND(PRODUCT(V48,AC9:AC47),0)</f>
        <v>#DIV/0!</v>
      </c>
      <c r="W49" s="3904"/>
      <c r="X49" s="1374"/>
      <c r="Y49" s="1374"/>
      <c r="Z49" s="1374"/>
      <c r="AA49" s="1374"/>
      <c r="AB49" s="1374"/>
      <c r="AC49" s="1374"/>
    </row>
    <row r="50" spans="1:29" ht="21.6" thickBot="1">
      <c r="A50" s="589" t="s">
        <v>2198</v>
      </c>
      <c r="B50" s="590"/>
      <c r="C50" s="591" t="e">
        <f>R50</f>
        <v>#DIV/0!</v>
      </c>
      <c r="D50" s="591"/>
      <c r="E50" s="591"/>
      <c r="F50" s="591"/>
      <c r="G50" s="591"/>
      <c r="H50" s="591"/>
      <c r="I50" s="591"/>
      <c r="J50" s="591"/>
      <c r="K50" s="1201"/>
      <c r="L50" s="1866"/>
      <c r="M50" s="1854"/>
      <c r="N50" s="1854"/>
      <c r="O50" s="1867"/>
      <c r="P50" s="3939" t="str">
        <f>A50</f>
        <v>估价对象XX用房的比较价格（楼面单价，元/平方米）</v>
      </c>
      <c r="Q50" s="3940"/>
      <c r="R50" s="3901" t="e">
        <f>ROUND(IF(D49="简单平均",AVERAGE(R49:W49),R49*F49+T49*H49+V49*J49),0)</f>
        <v>#DIV/0!</v>
      </c>
      <c r="S50" s="3901"/>
      <c r="T50" s="3901"/>
      <c r="U50" s="3901"/>
      <c r="V50" s="3901"/>
      <c r="W50" s="3901"/>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928" t="s">
        <v>1639</v>
      </c>
      <c r="H57" s="3929"/>
      <c r="I57" s="1371" t="s">
        <v>1251</v>
      </c>
      <c r="J57" s="1371" t="str">
        <f>项目基本情况!F41</f>
        <v>昌平区北七家八仙庄</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t="e">
        <f>C50</f>
        <v>#DIV/0!</v>
      </c>
      <c r="C58" s="603">
        <v>1</v>
      </c>
      <c r="D58" s="1946">
        <v>1</v>
      </c>
      <c r="E58" s="603">
        <f>'数据-汇总表'!E8+'数据-汇总表'!E9</f>
        <v>76200</v>
      </c>
      <c r="F58" s="604" t="e">
        <f t="shared" ref="F58:F66" si="14">ROUND(B58*E58/10000,0)</f>
        <v>#DIV/0!</v>
      </c>
      <c r="G58" s="3930"/>
      <c r="H58" s="3931"/>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t="e">
        <f>ROUND($C$50*C59*D59,0)</f>
        <v>#DIV/0!</v>
      </c>
      <c r="C59" s="365">
        <f t="shared" ref="C59:C66" si="15">IF($C$57="北京市系数",I59,J59)</f>
        <v>0</v>
      </c>
      <c r="D59" s="1947">
        <v>0.25</v>
      </c>
      <c r="E59" s="607">
        <v>0</v>
      </c>
      <c r="F59" s="604" t="e">
        <f t="shared" si="14"/>
        <v>#DIV/0!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t="e">
        <f t="shared" ref="B60:B66" si="16">ROUND($C$50*C60*D60,0)</f>
        <v>#DIV/0!</v>
      </c>
      <c r="C60" s="365">
        <f t="shared" si="15"/>
        <v>0</v>
      </c>
      <c r="D60" s="1947">
        <v>0.25</v>
      </c>
      <c r="E60" s="607">
        <v>0</v>
      </c>
      <c r="F60" s="604" t="e">
        <f t="shared" si="14"/>
        <v>#DIV/0!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t="e">
        <f t="shared" si="16"/>
        <v>#DIV/0!</v>
      </c>
      <c r="C61" s="365">
        <f t="shared" si="15"/>
        <v>0</v>
      </c>
      <c r="D61" s="1947">
        <v>0.25</v>
      </c>
      <c r="E61" s="607">
        <v>0</v>
      </c>
      <c r="F61" s="604" t="e">
        <f t="shared" si="14"/>
        <v>#DIV/0!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t="e">
        <f t="shared" si="16"/>
        <v>#DIV/0!</v>
      </c>
      <c r="C62" s="365">
        <f t="shared" si="15"/>
        <v>0</v>
      </c>
      <c r="D62" s="1947">
        <v>0.25</v>
      </c>
      <c r="E62" s="609">
        <f>'数据-汇总表'!E11</f>
        <v>0</v>
      </c>
      <c r="F62" s="604" t="e">
        <f t="shared" si="14"/>
        <v>#DIV/0!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t="e">
        <f t="shared" si="16"/>
        <v>#DIV/0!</v>
      </c>
      <c r="C65" s="365">
        <f t="shared" si="15"/>
        <v>0</v>
      </c>
      <c r="D65" s="1947">
        <v>0.25</v>
      </c>
      <c r="E65" s="609">
        <f>'数据-汇总表'!E14</f>
        <v>0</v>
      </c>
      <c r="F65" s="604" t="e">
        <f t="shared" si="14"/>
        <v>#DIV/0!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t="e">
        <f t="shared" si="16"/>
        <v>#DIV/0!</v>
      </c>
      <c r="C66" s="365">
        <f t="shared" si="15"/>
        <v>0</v>
      </c>
      <c r="D66" s="1947">
        <v>0.25</v>
      </c>
      <c r="E66" s="609">
        <f>'数据-汇总表'!E15</f>
        <v>0</v>
      </c>
      <c r="F66" s="604" t="e">
        <f t="shared" si="14"/>
        <v>#DIV/0!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76200</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2024-11-1</v>
      </c>
      <c r="D69" s="2278">
        <f>EDATE(C69,-3)</f>
        <v>45505</v>
      </c>
      <c r="E69" s="2278">
        <f t="shared" ref="E69:N69" si="17">EDATE(D69,-3)</f>
        <v>45413</v>
      </c>
      <c r="F69" s="2278">
        <f t="shared" si="17"/>
        <v>45323</v>
      </c>
      <c r="G69" s="2278">
        <f t="shared" si="17"/>
        <v>45231</v>
      </c>
      <c r="H69" s="2278">
        <f t="shared" si="17"/>
        <v>45139</v>
      </c>
      <c r="I69" s="2278">
        <f t="shared" si="17"/>
        <v>45047</v>
      </c>
      <c r="J69" s="2278">
        <f t="shared" si="17"/>
        <v>44958</v>
      </c>
      <c r="K69" s="2278">
        <f t="shared" si="17"/>
        <v>44866</v>
      </c>
      <c r="L69" s="2278">
        <f t="shared" si="17"/>
        <v>44774</v>
      </c>
      <c r="M69" s="2278">
        <f t="shared" si="17"/>
        <v>44682</v>
      </c>
      <c r="N69" s="2278">
        <f t="shared" si="17"/>
        <v>44593</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2024-4</v>
      </c>
      <c r="D71" s="2280" t="str">
        <f>YEAR(D69)&amp;"-"&amp;ROUNDUP(MONTH(D69)/3,0)</f>
        <v>2024-3</v>
      </c>
      <c r="E71" s="2280" t="str">
        <f t="shared" ref="E71:N71" si="18">YEAR(E69)&amp;"-"&amp;ROUNDUP(MONTH(E69)/3,0)</f>
        <v>2024-2</v>
      </c>
      <c r="F71" s="2280" t="str">
        <f t="shared" si="18"/>
        <v>2024-1</v>
      </c>
      <c r="G71" s="2280" t="str">
        <f t="shared" si="18"/>
        <v>2023-4</v>
      </c>
      <c r="H71" s="2280" t="str">
        <f t="shared" si="18"/>
        <v>2023-3</v>
      </c>
      <c r="I71" s="2280" t="str">
        <f t="shared" si="18"/>
        <v>2023-2</v>
      </c>
      <c r="J71" s="2280" t="str">
        <f t="shared" si="18"/>
        <v>2023-1</v>
      </c>
      <c r="K71" s="2280" t="str">
        <f t="shared" si="18"/>
        <v>2022-4</v>
      </c>
      <c r="L71" s="2280" t="str">
        <f t="shared" si="18"/>
        <v>2022-3</v>
      </c>
      <c r="M71" s="2280" t="str">
        <f t="shared" si="18"/>
        <v>2022-2</v>
      </c>
      <c r="N71" s="2280" t="str">
        <f t="shared" si="18"/>
        <v>2022-1</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c r="D124" s="1232"/>
      <c r="E124" s="1232"/>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80" zoomScaleNormal="50" zoomScaleSheetLayoutView="80" workbookViewId="0">
      <selection activeCell="F14" sqref="F14"/>
    </sheetView>
  </sheetViews>
  <sheetFormatPr defaultColWidth="9" defaultRowHeight="13.8"/>
  <cols>
    <col min="1" max="1" width="13.33203125" style="1197" customWidth="1"/>
    <col min="2" max="2" width="15.77734375" style="1197" customWidth="1"/>
    <col min="3" max="3" width="17.44140625" style="1197" customWidth="1"/>
    <col min="4" max="4" width="12.21875" style="1197" customWidth="1"/>
    <col min="5" max="5" width="18" style="1197" customWidth="1"/>
    <col min="6" max="6" width="12.21875" style="1197" customWidth="1"/>
    <col min="7" max="7" width="18.88671875" style="1197" customWidth="1"/>
    <col min="8" max="8" width="12.21875" style="1197" customWidth="1"/>
    <col min="9" max="9" width="17"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11384</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f>ROUND(B2*10000/'数据-汇总表'!E3,0)</f>
        <v>1494</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1494</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100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8" t="s">
        <v>471</v>
      </c>
      <c r="D6" s="3909"/>
      <c r="E6" s="3944" t="s">
        <v>472</v>
      </c>
      <c r="F6" s="3945"/>
      <c r="G6" s="3908" t="s">
        <v>473</v>
      </c>
      <c r="H6" s="3909"/>
      <c r="I6" s="3908" t="s">
        <v>474</v>
      </c>
      <c r="J6" s="3909"/>
      <c r="K6" s="484" t="s">
        <v>475</v>
      </c>
      <c r="L6" s="1855"/>
      <c r="M6" s="1856"/>
      <c r="N6" s="1856"/>
      <c r="O6" s="1856"/>
      <c r="P6" s="3910" t="s">
        <v>476</v>
      </c>
      <c r="Q6" s="3911"/>
      <c r="R6" s="3916" t="s">
        <v>472</v>
      </c>
      <c r="S6" s="3917"/>
      <c r="T6" s="3916" t="s">
        <v>473</v>
      </c>
      <c r="U6" s="3917"/>
      <c r="V6" s="3903" t="s">
        <v>474</v>
      </c>
      <c r="W6" s="3903"/>
      <c r="X6" s="1379"/>
      <c r="Y6" s="3916" t="s">
        <v>476</v>
      </c>
      <c r="Z6" s="3917"/>
      <c r="AA6" s="3905" t="s">
        <v>472</v>
      </c>
      <c r="AB6" s="3906" t="s">
        <v>473</v>
      </c>
      <c r="AC6" s="3905" t="s">
        <v>474</v>
      </c>
    </row>
    <row r="7" spans="1:29">
      <c r="A7" s="485"/>
      <c r="B7" s="486"/>
      <c r="C7" s="3941" t="s">
        <v>3380</v>
      </c>
      <c r="D7" s="3925"/>
      <c r="E7" s="3946" t="s">
        <v>3419</v>
      </c>
      <c r="F7" s="3947"/>
      <c r="G7" s="3924" t="s">
        <v>3420</v>
      </c>
      <c r="H7" s="3925"/>
      <c r="I7" s="3924" t="s">
        <v>3418</v>
      </c>
      <c r="J7" s="3925"/>
      <c r="K7" s="484"/>
      <c r="L7" s="1855"/>
      <c r="M7" s="1856"/>
      <c r="N7" s="1856"/>
      <c r="O7" s="1856"/>
      <c r="P7" s="3912"/>
      <c r="Q7" s="3913"/>
      <c r="R7" s="3918"/>
      <c r="S7" s="3919"/>
      <c r="T7" s="3918"/>
      <c r="U7" s="3919"/>
      <c r="V7" s="3903"/>
      <c r="W7" s="3903"/>
      <c r="X7" s="1379"/>
      <c r="Y7" s="3918"/>
      <c r="Z7" s="3919"/>
      <c r="AA7" s="3906"/>
      <c r="AB7" s="3906"/>
      <c r="AC7" s="3906"/>
    </row>
    <row r="8" spans="1:29" ht="15" thickBot="1">
      <c r="A8" s="487"/>
      <c r="B8" s="488"/>
      <c r="C8" s="3922" t="s">
        <v>2196</v>
      </c>
      <c r="D8" s="3923"/>
      <c r="E8" s="3942" t="s">
        <v>2196</v>
      </c>
      <c r="F8" s="3943"/>
      <c r="G8" s="3922" t="s">
        <v>2196</v>
      </c>
      <c r="H8" s="3923"/>
      <c r="I8" s="3922" t="s">
        <v>2196</v>
      </c>
      <c r="J8" s="3923"/>
      <c r="K8" s="484" t="s">
        <v>477</v>
      </c>
      <c r="L8" s="1855"/>
      <c r="M8" s="1856"/>
      <c r="N8" s="1856"/>
      <c r="O8" s="1856"/>
      <c r="P8" s="3914"/>
      <c r="Q8" s="3915"/>
      <c r="R8" s="3918"/>
      <c r="S8" s="3919"/>
      <c r="T8" s="3920"/>
      <c r="U8" s="3921"/>
      <c r="V8" s="3903"/>
      <c r="W8" s="3903"/>
      <c r="X8" s="1379"/>
      <c r="Y8" s="3920"/>
      <c r="Z8" s="3921"/>
      <c r="AA8" s="3907"/>
      <c r="AB8" s="3907"/>
      <c r="AC8" s="3907"/>
    </row>
    <row r="9" spans="1:29" s="1117" customFormat="1" ht="15" thickBot="1">
      <c r="A9" s="2391"/>
      <c r="B9" s="2398" t="s">
        <v>478</v>
      </c>
      <c r="C9" s="489">
        <f>'数据-取费表'!B2</f>
        <v>45597</v>
      </c>
      <c r="D9" s="490">
        <v>100</v>
      </c>
      <c r="E9" s="491">
        <v>45309</v>
      </c>
      <c r="F9" s="492">
        <f>SUMIF(66:66,YEAR(E9)&amp;"-"&amp;INT((MONTH(E9)+2)/3),67:67)</f>
        <v>99.4</v>
      </c>
      <c r="G9" s="493">
        <v>45173</v>
      </c>
      <c r="H9" s="490">
        <f>SUMIF(66:66,YEAR(G9)&amp;"-"&amp;INT((MONTH(G9)+2)/3),67:67)</f>
        <v>99</v>
      </c>
      <c r="I9" s="493">
        <v>45063</v>
      </c>
      <c r="J9" s="490">
        <f>SUMIF(66:66,YEAR(I9)&amp;"-"&amp;INT((MONTH(I9)+2)/3),67:67)</f>
        <v>98.8</v>
      </c>
      <c r="K9" s="494"/>
      <c r="L9" s="1857"/>
      <c r="M9" s="1858"/>
      <c r="N9" s="1858"/>
      <c r="O9" s="1858"/>
      <c r="P9" s="3932" t="s">
        <v>479</v>
      </c>
      <c r="Q9" s="3934"/>
      <c r="R9" s="1380" t="s">
        <v>5</v>
      </c>
      <c r="S9" s="1381">
        <f t="shared" ref="S9:S17" si="0">F9</f>
        <v>99.4</v>
      </c>
      <c r="T9" s="1380" t="s">
        <v>5</v>
      </c>
      <c r="U9" s="1381">
        <f t="shared" ref="U9:U17" si="1">H9</f>
        <v>99</v>
      </c>
      <c r="V9" s="1380" t="s">
        <v>5</v>
      </c>
      <c r="W9" s="1381">
        <f t="shared" ref="W9:W17" si="2">J9</f>
        <v>98.8</v>
      </c>
      <c r="X9" s="1382"/>
      <c r="Y9" s="3932" t="s">
        <v>479</v>
      </c>
      <c r="Z9" s="3933"/>
      <c r="AA9" s="1383">
        <f>D9/F9</f>
        <v>1.0060362173038229</v>
      </c>
      <c r="AB9" s="1383">
        <f>D9/H9</f>
        <v>1.0101010101010102</v>
      </c>
      <c r="AC9" s="1383">
        <f>D9/J9</f>
        <v>1.0121457489878543</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2" t="s">
        <v>482</v>
      </c>
      <c r="Q10" s="3933"/>
      <c r="R10" s="1380" t="s">
        <v>5</v>
      </c>
      <c r="S10" s="1381">
        <f t="shared" si="0"/>
        <v>100</v>
      </c>
      <c r="T10" s="1380" t="s">
        <v>5</v>
      </c>
      <c r="U10" s="1381">
        <f t="shared" si="1"/>
        <v>100</v>
      </c>
      <c r="V10" s="1380" t="s">
        <v>5</v>
      </c>
      <c r="W10" s="1381">
        <f t="shared" si="2"/>
        <v>100</v>
      </c>
      <c r="X10" s="1382"/>
      <c r="Y10" s="3932" t="s">
        <v>482</v>
      </c>
      <c r="Z10" s="3933"/>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2" t="s">
        <v>484</v>
      </c>
      <c r="Q11" s="1049" t="str">
        <f t="shared" ref="Q11:Q17" si="6">B11</f>
        <v>用途</v>
      </c>
      <c r="R11" s="1380" t="s">
        <v>5</v>
      </c>
      <c r="S11" s="1381">
        <f t="shared" si="0"/>
        <v>100</v>
      </c>
      <c r="T11" s="1380" t="s">
        <v>5</v>
      </c>
      <c r="U11" s="1381">
        <f t="shared" si="1"/>
        <v>100</v>
      </c>
      <c r="V11" s="1380" t="s">
        <v>5</v>
      </c>
      <c r="W11" s="1381">
        <f t="shared" si="2"/>
        <v>100</v>
      </c>
      <c r="X11" s="1382"/>
      <c r="Y11" s="3846" t="s">
        <v>485</v>
      </c>
      <c r="Z11" s="1048" t="str">
        <f t="shared" ref="Z11:Z17" si="7">Q11</f>
        <v>用途</v>
      </c>
      <c r="AA11" s="1383">
        <f t="shared" si="3"/>
        <v>1</v>
      </c>
      <c r="AB11" s="1383">
        <f t="shared" si="4"/>
        <v>1</v>
      </c>
      <c r="AC11" s="1383">
        <f t="shared" si="5"/>
        <v>1</v>
      </c>
    </row>
    <row r="12" spans="1:29" s="1198" customFormat="1" ht="28.8">
      <c r="A12" s="2394"/>
      <c r="B12" s="2399" t="s">
        <v>2039</v>
      </c>
      <c r="C12" s="498">
        <v>23</v>
      </c>
      <c r="D12" s="246">
        <v>100</v>
      </c>
      <c r="E12" s="498">
        <v>20</v>
      </c>
      <c r="F12" s="246">
        <v>100</v>
      </c>
      <c r="G12" s="498">
        <v>20</v>
      </c>
      <c r="H12" s="246">
        <v>100</v>
      </c>
      <c r="I12" s="498">
        <v>20</v>
      </c>
      <c r="J12" s="246">
        <f>F12</f>
        <v>100</v>
      </c>
      <c r="K12" s="501"/>
      <c r="L12" s="1860"/>
      <c r="M12" s="1899"/>
      <c r="N12" s="1899"/>
      <c r="O12" s="1861"/>
      <c r="P12" s="3902"/>
      <c r="Q12" s="1049" t="str">
        <f t="shared" si="6"/>
        <v>土地使用年限（年）</v>
      </c>
      <c r="R12" s="1380" t="s">
        <v>5</v>
      </c>
      <c r="S12" s="1381">
        <f t="shared" si="0"/>
        <v>100</v>
      </c>
      <c r="T12" s="1380" t="s">
        <v>5</v>
      </c>
      <c r="U12" s="1381">
        <f t="shared" si="1"/>
        <v>100</v>
      </c>
      <c r="V12" s="1380" t="s">
        <v>5</v>
      </c>
      <c r="W12" s="1381">
        <f t="shared" si="2"/>
        <v>100</v>
      </c>
      <c r="X12" s="1382"/>
      <c r="Y12" s="3846"/>
      <c r="Z12" s="1048" t="str">
        <f t="shared" si="7"/>
        <v>土地使用年限（年）</v>
      </c>
      <c r="AA12" s="1383">
        <f t="shared" si="3"/>
        <v>1</v>
      </c>
      <c r="AB12" s="1383">
        <f t="shared" si="4"/>
        <v>1</v>
      </c>
      <c r="AC12" s="1383">
        <f t="shared" si="5"/>
        <v>1</v>
      </c>
    </row>
    <row r="13" spans="1:29" ht="15">
      <c r="A13" s="2395"/>
      <c r="B13" s="2399" t="s">
        <v>2040</v>
      </c>
      <c r="C13" s="503">
        <v>1</v>
      </c>
      <c r="D13" s="246">
        <v>100</v>
      </c>
      <c r="E13" s="503">
        <v>1.5</v>
      </c>
      <c r="F13" s="246">
        <f>LOOKUP(E13,76:76,77:77)-LOOKUP(C13,76:76,77:77)+100</f>
        <v>102</v>
      </c>
      <c r="G13" s="504">
        <v>2</v>
      </c>
      <c r="H13" s="246">
        <f>LOOKUP(G13,76:76,77:77)-LOOKUP(C13,76:76,77:77)+100</f>
        <v>104</v>
      </c>
      <c r="I13" s="503">
        <v>1.5</v>
      </c>
      <c r="J13" s="246">
        <f>LOOKUP(I13,76:76,77:77)-LOOKUP(C13,76:76,77:77)+100</f>
        <v>102</v>
      </c>
      <c r="K13" s="505">
        <v>-2</v>
      </c>
      <c r="L13" s="1862"/>
      <c r="M13" s="1856"/>
      <c r="N13" s="1856"/>
      <c r="O13" s="1863"/>
      <c r="P13" s="3902"/>
      <c r="Q13" s="1049" t="str">
        <f t="shared" si="6"/>
        <v>容积率</v>
      </c>
      <c r="R13" s="1380" t="s">
        <v>5</v>
      </c>
      <c r="S13" s="1381">
        <f t="shared" si="0"/>
        <v>102</v>
      </c>
      <c r="T13" s="1380" t="s">
        <v>5</v>
      </c>
      <c r="U13" s="1381">
        <f t="shared" si="1"/>
        <v>104</v>
      </c>
      <c r="V13" s="1380" t="s">
        <v>5</v>
      </c>
      <c r="W13" s="1381">
        <f t="shared" si="2"/>
        <v>102</v>
      </c>
      <c r="X13" s="1382"/>
      <c r="Y13" s="3846"/>
      <c r="Z13" s="1048" t="str">
        <f t="shared" si="7"/>
        <v>容积率</v>
      </c>
      <c r="AA13" s="1383">
        <f t="shared" si="3"/>
        <v>0.98039215686274506</v>
      </c>
      <c r="AB13" s="1383">
        <f t="shared" si="4"/>
        <v>0.96153846153846156</v>
      </c>
      <c r="AC13" s="1383">
        <f t="shared" si="5"/>
        <v>0.98039215686274506</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2"/>
      <c r="Q14" s="1049">
        <f t="shared" si="6"/>
        <v>111</v>
      </c>
      <c r="R14" s="1380" t="s">
        <v>5</v>
      </c>
      <c r="S14" s="1381">
        <f t="shared" si="0"/>
        <v>100</v>
      </c>
      <c r="T14" s="1380" t="s">
        <v>5</v>
      </c>
      <c r="U14" s="1381">
        <f t="shared" si="1"/>
        <v>100</v>
      </c>
      <c r="V14" s="1380" t="s">
        <v>5</v>
      </c>
      <c r="W14" s="1381">
        <f t="shared" si="2"/>
        <v>100</v>
      </c>
      <c r="X14" s="1382"/>
      <c r="Y14" s="3846"/>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2"/>
      <c r="Q15" s="1049">
        <f t="shared" si="6"/>
        <v>111</v>
      </c>
      <c r="R15" s="1380" t="s">
        <v>5</v>
      </c>
      <c r="S15" s="1381">
        <f t="shared" si="0"/>
        <v>100</v>
      </c>
      <c r="T15" s="1380" t="s">
        <v>5</v>
      </c>
      <c r="U15" s="1381">
        <f t="shared" si="1"/>
        <v>100</v>
      </c>
      <c r="V15" s="1380" t="s">
        <v>5</v>
      </c>
      <c r="W15" s="1381">
        <f t="shared" si="2"/>
        <v>100</v>
      </c>
      <c r="X15" s="1382"/>
      <c r="Y15" s="3846"/>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2"/>
      <c r="Q16" s="1049">
        <f t="shared" si="6"/>
        <v>111</v>
      </c>
      <c r="R16" s="1380" t="s">
        <v>5</v>
      </c>
      <c r="S16" s="1381">
        <f t="shared" si="0"/>
        <v>100</v>
      </c>
      <c r="T16" s="1380" t="s">
        <v>5</v>
      </c>
      <c r="U16" s="1381">
        <f t="shared" si="1"/>
        <v>100</v>
      </c>
      <c r="V16" s="1380" t="s">
        <v>5</v>
      </c>
      <c r="W16" s="1381">
        <f t="shared" si="2"/>
        <v>100</v>
      </c>
      <c r="X16" s="1382"/>
      <c r="Y16" s="3846"/>
      <c r="Z16" s="1048">
        <f t="shared" si="7"/>
        <v>111</v>
      </c>
      <c r="AA16" s="1383">
        <f t="shared" si="3"/>
        <v>1</v>
      </c>
      <c r="AB16" s="1383">
        <f t="shared" si="4"/>
        <v>1</v>
      </c>
      <c r="AC16" s="1383">
        <f t="shared" si="5"/>
        <v>1</v>
      </c>
    </row>
    <row r="17" spans="1:29" ht="55.2">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5" t="s">
        <v>489</v>
      </c>
      <c r="Q17" s="1384" t="str">
        <f t="shared" si="6"/>
        <v>产业集聚程度</v>
      </c>
      <c r="R17" s="1385" t="s">
        <v>5</v>
      </c>
      <c r="S17" s="1386">
        <f t="shared" si="0"/>
        <v>100</v>
      </c>
      <c r="T17" s="1385" t="s">
        <v>5</v>
      </c>
      <c r="U17" s="1386">
        <f t="shared" si="1"/>
        <v>100</v>
      </c>
      <c r="V17" s="1385" t="s">
        <v>5</v>
      </c>
      <c r="W17" s="1386">
        <f t="shared" si="2"/>
        <v>100</v>
      </c>
      <c r="X17" s="1379"/>
      <c r="Y17" s="3935" t="s">
        <v>489</v>
      </c>
      <c r="Z17" s="1387" t="str">
        <f t="shared" si="7"/>
        <v>产业集聚程度</v>
      </c>
      <c r="AA17" s="1388">
        <f t="shared" si="3"/>
        <v>1</v>
      </c>
      <c r="AB17" s="1388">
        <f t="shared" si="4"/>
        <v>1</v>
      </c>
      <c r="AC17" s="1388">
        <f t="shared" si="5"/>
        <v>1</v>
      </c>
    </row>
    <row r="18" spans="1:29" ht="15">
      <c r="A18" s="502"/>
      <c r="B18" s="832"/>
      <c r="C18" s="3721" t="s">
        <v>3409</v>
      </c>
      <c r="D18" s="525"/>
      <c r="E18" s="524" t="s">
        <v>3383</v>
      </c>
      <c r="F18" s="525"/>
      <c r="G18" s="524" t="s">
        <v>3383</v>
      </c>
      <c r="H18" s="529"/>
      <c r="I18" s="524" t="s">
        <v>3383</v>
      </c>
      <c r="J18" s="525"/>
      <c r="K18" s="501"/>
      <c r="L18" s="1864"/>
      <c r="M18" s="1856"/>
      <c r="N18" s="1856"/>
      <c r="O18" s="1863"/>
      <c r="P18" s="3936"/>
      <c r="Q18" s="1384"/>
      <c r="R18" s="1385"/>
      <c r="S18" s="1386"/>
      <c r="T18" s="1385"/>
      <c r="U18" s="1386"/>
      <c r="V18" s="1385"/>
      <c r="W18" s="1386"/>
      <c r="X18" s="1379"/>
      <c r="Y18" s="3936"/>
      <c r="Z18" s="1387"/>
      <c r="AA18" s="1388">
        <v>1</v>
      </c>
      <c r="AB18" s="1388">
        <v>1</v>
      </c>
      <c r="AC18" s="1388">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36"/>
      <c r="Q19" s="1384" t="str">
        <f>B19</f>
        <v>交通便捷度</v>
      </c>
      <c r="R19" s="1385" t="s">
        <v>5</v>
      </c>
      <c r="S19" s="1386">
        <f>F19</f>
        <v>100</v>
      </c>
      <c r="T19" s="1385" t="s">
        <v>5</v>
      </c>
      <c r="U19" s="1386">
        <f>H19</f>
        <v>100</v>
      </c>
      <c r="V19" s="1385" t="s">
        <v>5</v>
      </c>
      <c r="W19" s="1386">
        <f>J19</f>
        <v>100</v>
      </c>
      <c r="X19" s="1379"/>
      <c r="Y19" s="3936"/>
      <c r="Z19" s="1387" t="str">
        <f>Q19</f>
        <v>交通便捷度</v>
      </c>
      <c r="AA19" s="1388">
        <f t="shared" si="3"/>
        <v>1</v>
      </c>
      <c r="AB19" s="1388">
        <f t="shared" si="4"/>
        <v>1</v>
      </c>
      <c r="AC19" s="1388">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6"/>
      <c r="Q20" s="1384"/>
      <c r="R20" s="1385"/>
      <c r="S20" s="1386"/>
      <c r="T20" s="1385"/>
      <c r="U20" s="1386"/>
      <c r="V20" s="1385"/>
      <c r="W20" s="1386"/>
      <c r="X20" s="1379"/>
      <c r="Y20" s="3936"/>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6"/>
      <c r="Q21" s="1384" t="str">
        <f t="shared" ref="Q21:Q35" si="8">B21</f>
        <v>区域土地利用方向</v>
      </c>
      <c r="R21" s="1385" t="s">
        <v>5</v>
      </c>
      <c r="S21" s="1386">
        <f>F21</f>
        <v>100</v>
      </c>
      <c r="T21" s="1385" t="s">
        <v>5</v>
      </c>
      <c r="U21" s="1386">
        <f>H21</f>
        <v>100</v>
      </c>
      <c r="V21" s="1385" t="s">
        <v>5</v>
      </c>
      <c r="W21" s="1386">
        <f>J21</f>
        <v>100</v>
      </c>
      <c r="X21" s="1379"/>
      <c r="Y21" s="3936"/>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36"/>
      <c r="Q22" s="1384"/>
      <c r="R22" s="1385"/>
      <c r="S22" s="1386"/>
      <c r="T22" s="1385"/>
      <c r="U22" s="1386"/>
      <c r="V22" s="1385"/>
      <c r="W22" s="1386"/>
      <c r="X22" s="1379"/>
      <c r="Y22" s="3936"/>
      <c r="Z22" s="1387"/>
      <c r="AA22" s="1388"/>
      <c r="AB22" s="1388"/>
      <c r="AC22" s="1388"/>
    </row>
    <row r="23" spans="1:29" ht="55.2">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6"/>
      <c r="Q23" s="1384" t="str">
        <f t="shared" si="8"/>
        <v>环境状况</v>
      </c>
      <c r="R23" s="1385" t="s">
        <v>5</v>
      </c>
      <c r="S23" s="1386">
        <f>F23</f>
        <v>100</v>
      </c>
      <c r="T23" s="1385" t="s">
        <v>5</v>
      </c>
      <c r="U23" s="1386">
        <f>H23</f>
        <v>100</v>
      </c>
      <c r="V23" s="1385" t="s">
        <v>5</v>
      </c>
      <c r="W23" s="1386">
        <f>J23</f>
        <v>100</v>
      </c>
      <c r="X23" s="1379"/>
      <c r="Y23" s="3936"/>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36"/>
      <c r="Q24" s="1384"/>
      <c r="R24" s="1385"/>
      <c r="S24" s="1386"/>
      <c r="T24" s="1385"/>
      <c r="U24" s="1386"/>
      <c r="V24" s="1385"/>
      <c r="W24" s="1386"/>
      <c r="X24" s="1379"/>
      <c r="Y24" s="3936"/>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36"/>
      <c r="Q25" s="1049" t="str">
        <f t="shared" si="8"/>
        <v>公共配套设施</v>
      </c>
      <c r="R25" s="1380" t="s">
        <v>5</v>
      </c>
      <c r="S25" s="1381">
        <f>F25</f>
        <v>100</v>
      </c>
      <c r="T25" s="1380" t="s">
        <v>5</v>
      </c>
      <c r="U25" s="1381">
        <f>H25</f>
        <v>100</v>
      </c>
      <c r="V25" s="1380" t="s">
        <v>5</v>
      </c>
      <c r="W25" s="1381">
        <f>J25</f>
        <v>100</v>
      </c>
      <c r="X25" s="1382"/>
      <c r="Y25" s="3936"/>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36"/>
      <c r="Q26" s="1049"/>
      <c r="R26" s="1380"/>
      <c r="S26" s="1381"/>
      <c r="T26" s="1380"/>
      <c r="U26" s="1381"/>
      <c r="V26" s="1380"/>
      <c r="W26" s="1381"/>
      <c r="X26" s="1382"/>
      <c r="Y26" s="3936"/>
      <c r="Z26" s="1048"/>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6"/>
      <c r="Q27" s="2191" t="str">
        <f>B27</f>
        <v>基础设施水平</v>
      </c>
      <c r="R27" s="1380" t="s">
        <v>5</v>
      </c>
      <c r="S27" s="1381">
        <f>F27</f>
        <v>100</v>
      </c>
      <c r="T27" s="1380" t="s">
        <v>5</v>
      </c>
      <c r="U27" s="1381">
        <f>H27</f>
        <v>100</v>
      </c>
      <c r="V27" s="1380" t="s">
        <v>5</v>
      </c>
      <c r="W27" s="1381">
        <f>J27</f>
        <v>100</v>
      </c>
      <c r="X27" s="1382"/>
      <c r="Y27" s="3936"/>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36"/>
      <c r="Q28" s="2191"/>
      <c r="R28" s="1380"/>
      <c r="S28" s="1381"/>
      <c r="T28" s="1380"/>
      <c r="U28" s="1381"/>
      <c r="V28" s="1380"/>
      <c r="W28" s="1381"/>
      <c r="X28" s="1382"/>
      <c r="Y28" s="3936"/>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6"/>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36"/>
      <c r="Z29" s="1387" t="str">
        <f t="shared" ref="Z29:Z42" si="12">Q29</f>
        <v>临街状况</v>
      </c>
      <c r="AA29" s="1388">
        <f t="shared" si="3"/>
        <v>1</v>
      </c>
      <c r="AB29" s="1388">
        <f t="shared" si="4"/>
        <v>1</v>
      </c>
      <c r="AC29" s="1388">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6"/>
      <c r="Q30" s="1384" t="str">
        <f t="shared" si="8"/>
        <v>毗邻道路的类型与等级</v>
      </c>
      <c r="R30" s="1385" t="s">
        <v>5</v>
      </c>
      <c r="S30" s="1386">
        <f t="shared" si="9"/>
        <v>100</v>
      </c>
      <c r="T30" s="1385" t="s">
        <v>5</v>
      </c>
      <c r="U30" s="1386">
        <f t="shared" si="10"/>
        <v>100</v>
      </c>
      <c r="V30" s="1385" t="s">
        <v>5</v>
      </c>
      <c r="W30" s="1386">
        <f t="shared" si="11"/>
        <v>100</v>
      </c>
      <c r="X30" s="1379"/>
      <c r="Y30" s="3936"/>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36"/>
      <c r="Q31" s="1384"/>
      <c r="R31" s="1385"/>
      <c r="S31" s="1386"/>
      <c r="T31" s="1385"/>
      <c r="U31" s="1386"/>
      <c r="V31" s="1385"/>
      <c r="W31" s="1386"/>
      <c r="X31" s="1379"/>
      <c r="Y31" s="3936"/>
      <c r="Z31" s="1387"/>
      <c r="AA31" s="1388">
        <v>1</v>
      </c>
      <c r="AB31" s="1388">
        <v>1</v>
      </c>
      <c r="AC31" s="1388">
        <v>1</v>
      </c>
    </row>
    <row r="32" spans="1:29" ht="15">
      <c r="A32" s="502"/>
      <c r="B32" s="497" t="s">
        <v>498</v>
      </c>
      <c r="C32" s="2203" t="str">
        <f>估价对象房地状况!G23</f>
        <v>七级</v>
      </c>
      <c r="D32" s="510">
        <v>100</v>
      </c>
      <c r="E32" s="550" t="s">
        <v>1154</v>
      </c>
      <c r="F32" s="510">
        <f>SUMIF(100:100,E32,101:101)-SUMIF(100:100,C32,101:101)+100</f>
        <v>100</v>
      </c>
      <c r="G32" s="550" t="s">
        <v>1155</v>
      </c>
      <c r="H32" s="510">
        <f>SUMIF(100:100,G32,101:101)-SUMIF(100:100,C32,101:101)+100</f>
        <v>98</v>
      </c>
      <c r="I32" s="550" t="s">
        <v>1154</v>
      </c>
      <c r="J32" s="510">
        <f>SUMIF(100:100,I32,101:101)-SUMIF(100:100,C32,101:101)+100</f>
        <v>100</v>
      </c>
      <c r="K32" s="554">
        <v>2</v>
      </c>
      <c r="L32" s="1864"/>
      <c r="M32" s="1856"/>
      <c r="N32" s="1856"/>
      <c r="O32" s="1863"/>
      <c r="P32" s="3936"/>
      <c r="Q32" s="1384" t="str">
        <f t="shared" si="8"/>
        <v>土地级别</v>
      </c>
      <c r="R32" s="1385" t="s">
        <v>5</v>
      </c>
      <c r="S32" s="1386">
        <f t="shared" si="9"/>
        <v>100</v>
      </c>
      <c r="T32" s="1385" t="s">
        <v>5</v>
      </c>
      <c r="U32" s="1386">
        <f t="shared" si="10"/>
        <v>98</v>
      </c>
      <c r="V32" s="1385" t="s">
        <v>5</v>
      </c>
      <c r="W32" s="1386">
        <f t="shared" si="11"/>
        <v>100</v>
      </c>
      <c r="X32" s="1379"/>
      <c r="Y32" s="3936"/>
      <c r="Z32" s="1387" t="str">
        <f t="shared" si="12"/>
        <v>土地级别</v>
      </c>
      <c r="AA32" s="1388">
        <f t="shared" si="3"/>
        <v>1</v>
      </c>
      <c r="AB32" s="1388">
        <f t="shared" si="4"/>
        <v>1.0204081632653061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6"/>
      <c r="Q33" s="1384">
        <f t="shared" si="8"/>
        <v>111</v>
      </c>
      <c r="R33" s="1385" t="s">
        <v>5</v>
      </c>
      <c r="S33" s="1386">
        <f t="shared" si="9"/>
        <v>100</v>
      </c>
      <c r="T33" s="1385" t="s">
        <v>5</v>
      </c>
      <c r="U33" s="1386">
        <f t="shared" si="10"/>
        <v>100</v>
      </c>
      <c r="V33" s="1385" t="s">
        <v>5</v>
      </c>
      <c r="W33" s="1386">
        <f t="shared" si="11"/>
        <v>100</v>
      </c>
      <c r="X33" s="1379"/>
      <c r="Y33" s="3936"/>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7" t="s">
        <v>499</v>
      </c>
      <c r="Q34" s="1384">
        <f t="shared" si="8"/>
        <v>111</v>
      </c>
      <c r="R34" s="1385" t="s">
        <v>5</v>
      </c>
      <c r="S34" s="1386">
        <f t="shared" si="9"/>
        <v>100</v>
      </c>
      <c r="T34" s="1385" t="s">
        <v>5</v>
      </c>
      <c r="U34" s="1386">
        <f t="shared" si="10"/>
        <v>100</v>
      </c>
      <c r="V34" s="1385" t="s">
        <v>5</v>
      </c>
      <c r="W34" s="1386">
        <f t="shared" si="11"/>
        <v>100</v>
      </c>
      <c r="X34" s="1379"/>
      <c r="Y34" s="3938"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8"/>
      <c r="Q35" s="1384">
        <f t="shared" si="8"/>
        <v>111</v>
      </c>
      <c r="R35" s="1389" t="s">
        <v>5</v>
      </c>
      <c r="S35" s="1390">
        <f t="shared" si="9"/>
        <v>100</v>
      </c>
      <c r="T35" s="1389" t="s">
        <v>5</v>
      </c>
      <c r="U35" s="1390">
        <f t="shared" si="10"/>
        <v>100</v>
      </c>
      <c r="V35" s="1389" t="s">
        <v>5</v>
      </c>
      <c r="W35" s="1390">
        <f t="shared" si="11"/>
        <v>100</v>
      </c>
      <c r="X35" s="1391"/>
      <c r="Y35" s="3938"/>
      <c r="Z35" s="1392">
        <f t="shared" si="12"/>
        <v>111</v>
      </c>
      <c r="AA35" s="1388">
        <f t="shared" si="3"/>
        <v>1</v>
      </c>
      <c r="AB35" s="1388">
        <f t="shared" si="4"/>
        <v>1</v>
      </c>
      <c r="AC35" s="1388">
        <f t="shared" si="5"/>
        <v>1</v>
      </c>
    </row>
    <row r="36" spans="1:29" ht="15">
      <c r="A36" s="2386" t="s">
        <v>2037</v>
      </c>
      <c r="B36" s="565" t="s">
        <v>501</v>
      </c>
      <c r="C36" s="566">
        <f>'数据-汇总表'!D19</f>
        <v>76200</v>
      </c>
      <c r="D36" s="567">
        <v>100</v>
      </c>
      <c r="E36" s="566">
        <f>Sheet3!P24</f>
        <v>25709.123</v>
      </c>
      <c r="F36" s="567">
        <f>LOOKUP(E36,109:109,110:110)-LOOKUP(C36,109:109,110:110)+100</f>
        <v>104</v>
      </c>
      <c r="G36" s="566">
        <f>Sheet3!P26</f>
        <v>37407.46</v>
      </c>
      <c r="H36" s="567">
        <f>LOOKUP(G36,109:109,110:110)-LOOKUP(C36,109:109,110:110)+100</f>
        <v>102</v>
      </c>
      <c r="I36" s="568">
        <f>Sheet3!P32</f>
        <v>54179.972000000002</v>
      </c>
      <c r="J36" s="567">
        <f>LOOKUP(I36,109:109,110:110)-LOOKUP(C36,109:109,110:110)+100</f>
        <v>102</v>
      </c>
      <c r="K36" s="551"/>
      <c r="L36" s="1864"/>
      <c r="M36" s="1856"/>
      <c r="N36" s="1856"/>
      <c r="O36" s="1863"/>
      <c r="P36" s="3938"/>
      <c r="Q36" s="1384" t="str">
        <f>B36</f>
        <v>宗地面积</v>
      </c>
      <c r="R36" s="1385" t="s">
        <v>5</v>
      </c>
      <c r="S36" s="1386">
        <f t="shared" si="9"/>
        <v>104</v>
      </c>
      <c r="T36" s="1385" t="s">
        <v>5</v>
      </c>
      <c r="U36" s="1386">
        <f t="shared" si="10"/>
        <v>102</v>
      </c>
      <c r="V36" s="1385" t="s">
        <v>5</v>
      </c>
      <c r="W36" s="1386">
        <f t="shared" si="11"/>
        <v>102</v>
      </c>
      <c r="X36" s="1379"/>
      <c r="Y36" s="3938"/>
      <c r="Z36" s="1387" t="str">
        <f t="shared" si="12"/>
        <v>宗地面积</v>
      </c>
      <c r="AA36" s="1388">
        <f t="shared" si="3"/>
        <v>0.96153846153846156</v>
      </c>
      <c r="AB36" s="1388">
        <f t="shared" si="4"/>
        <v>0.98039215686274506</v>
      </c>
      <c r="AC36" s="1388">
        <f t="shared" si="5"/>
        <v>0.98039215686274506</v>
      </c>
    </row>
    <row r="37" spans="1:29" ht="15">
      <c r="A37" s="564"/>
      <c r="B37" s="497" t="s">
        <v>502</v>
      </c>
      <c r="C37" s="569" t="s">
        <v>3406</v>
      </c>
      <c r="D37" s="510">
        <v>100</v>
      </c>
      <c r="E37" s="569" t="s">
        <v>3406</v>
      </c>
      <c r="F37" s="510">
        <f>SUMIF(111:111,E37,112:112)-SUMIF(111:111,C37,112:112)+100</f>
        <v>100</v>
      </c>
      <c r="G37" s="569" t="s">
        <v>3406</v>
      </c>
      <c r="H37" s="510">
        <f>SUMIF(111:111,G37,112:112)-SUMIF(111:111,C37,112:112)+100</f>
        <v>100</v>
      </c>
      <c r="I37" s="569" t="s">
        <v>3406</v>
      </c>
      <c r="J37" s="510">
        <f>SUMIF(111:111,I37,112:112)-SUMIF(111:111,C37,112:112)+100</f>
        <v>100</v>
      </c>
      <c r="K37" s="554">
        <v>5</v>
      </c>
      <c r="L37" s="1864"/>
      <c r="M37" s="1856"/>
      <c r="N37" s="1856"/>
      <c r="O37" s="1863"/>
      <c r="P37" s="3938"/>
      <c r="Q37" s="1384" t="str">
        <f t="shared" ref="Q37:Q42" si="13">B37</f>
        <v>宗地形状</v>
      </c>
      <c r="R37" s="1385" t="s">
        <v>5</v>
      </c>
      <c r="S37" s="1386">
        <f t="shared" si="9"/>
        <v>100</v>
      </c>
      <c r="T37" s="1385" t="s">
        <v>5</v>
      </c>
      <c r="U37" s="1386">
        <f t="shared" si="10"/>
        <v>100</v>
      </c>
      <c r="V37" s="1385" t="s">
        <v>5</v>
      </c>
      <c r="W37" s="1386">
        <f t="shared" si="11"/>
        <v>100</v>
      </c>
      <c r="X37" s="1379"/>
      <c r="Y37" s="3938"/>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8"/>
      <c r="Q38" s="1384" t="str">
        <f t="shared" si="13"/>
        <v>宗地开发程度</v>
      </c>
      <c r="R38" s="1380" t="s">
        <v>5</v>
      </c>
      <c r="S38" s="1381">
        <f t="shared" si="9"/>
        <v>100</v>
      </c>
      <c r="T38" s="1380" t="s">
        <v>5</v>
      </c>
      <c r="U38" s="1381">
        <f t="shared" si="10"/>
        <v>100</v>
      </c>
      <c r="V38" s="1380" t="s">
        <v>5</v>
      </c>
      <c r="W38" s="1381">
        <f t="shared" si="11"/>
        <v>100</v>
      </c>
      <c r="X38" s="1382"/>
      <c r="Y38" s="3938"/>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8" t="s">
        <v>549</v>
      </c>
      <c r="Q39" s="1384" t="str">
        <f t="shared" si="13"/>
        <v>工程地质条件</v>
      </c>
      <c r="R39" s="1385" t="s">
        <v>5</v>
      </c>
      <c r="S39" s="1386">
        <f t="shared" si="9"/>
        <v>100</v>
      </c>
      <c r="T39" s="1385" t="s">
        <v>5</v>
      </c>
      <c r="U39" s="1386">
        <f t="shared" si="10"/>
        <v>100</v>
      </c>
      <c r="V39" s="1385" t="s">
        <v>5</v>
      </c>
      <c r="W39" s="1386">
        <f t="shared" si="11"/>
        <v>100</v>
      </c>
      <c r="X39" s="1379"/>
      <c r="Y39" s="3938"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8"/>
      <c r="Q40" s="1384">
        <f t="shared" si="13"/>
        <v>111</v>
      </c>
      <c r="R40" s="1385" t="s">
        <v>5</v>
      </c>
      <c r="S40" s="1386">
        <f t="shared" si="9"/>
        <v>100</v>
      </c>
      <c r="T40" s="1385" t="s">
        <v>5</v>
      </c>
      <c r="U40" s="1386">
        <f t="shared" si="10"/>
        <v>100</v>
      </c>
      <c r="V40" s="1385" t="s">
        <v>5</v>
      </c>
      <c r="W40" s="1386">
        <f t="shared" si="11"/>
        <v>100</v>
      </c>
      <c r="X40" s="1379"/>
      <c r="Y40" s="3938"/>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8"/>
      <c r="Q41" s="1384">
        <f t="shared" si="13"/>
        <v>111</v>
      </c>
      <c r="R41" s="1385" t="s">
        <v>5</v>
      </c>
      <c r="S41" s="1386">
        <f t="shared" si="9"/>
        <v>100</v>
      </c>
      <c r="T41" s="1385" t="s">
        <v>5</v>
      </c>
      <c r="U41" s="1386">
        <f t="shared" si="10"/>
        <v>100</v>
      </c>
      <c r="V41" s="1385" t="s">
        <v>5</v>
      </c>
      <c r="W41" s="1386">
        <f t="shared" si="11"/>
        <v>100</v>
      </c>
      <c r="X41" s="1379"/>
      <c r="Y41" s="3938"/>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8"/>
      <c r="Q42" s="1384">
        <f t="shared" si="13"/>
        <v>111</v>
      </c>
      <c r="R42" s="1389" t="s">
        <v>5</v>
      </c>
      <c r="S42" s="1390">
        <f t="shared" si="9"/>
        <v>100</v>
      </c>
      <c r="T42" s="1389" t="s">
        <v>5</v>
      </c>
      <c r="U42" s="1390">
        <f t="shared" si="10"/>
        <v>100</v>
      </c>
      <c r="V42" s="1389" t="s">
        <v>5</v>
      </c>
      <c r="W42" s="1390">
        <f t="shared" si="11"/>
        <v>100</v>
      </c>
      <c r="X42" s="1391"/>
      <c r="Y42" s="3938"/>
      <c r="Z42" s="1392">
        <f t="shared" si="12"/>
        <v>111</v>
      </c>
      <c r="AA42" s="1388">
        <f t="shared" si="3"/>
        <v>1</v>
      </c>
      <c r="AB42" s="1388">
        <f t="shared" si="4"/>
        <v>1</v>
      </c>
      <c r="AC42" s="1388">
        <f t="shared" si="5"/>
        <v>1</v>
      </c>
    </row>
    <row r="43" spans="1:29" ht="14.4">
      <c r="A43" s="577" t="s">
        <v>505</v>
      </c>
      <c r="B43" s="578" t="s">
        <v>2197</v>
      </c>
      <c r="C43" s="579" t="s">
        <v>0</v>
      </c>
      <c r="D43" s="580"/>
      <c r="E43" s="581">
        <v>1740</v>
      </c>
      <c r="F43" s="582"/>
      <c r="G43" s="583">
        <v>1439</v>
      </c>
      <c r="H43" s="584"/>
      <c r="I43" s="581">
        <v>1475</v>
      </c>
      <c r="J43" s="584"/>
      <c r="K43" s="1200"/>
      <c r="L43" s="1866"/>
      <c r="M43" s="1856"/>
      <c r="N43" s="1856"/>
      <c r="O43" s="1867"/>
      <c r="P43" s="3902" t="str">
        <f>A43</f>
        <v>成交单价</v>
      </c>
      <c r="Q43" s="3902"/>
      <c r="R43" s="3903">
        <f>E43</f>
        <v>1740</v>
      </c>
      <c r="S43" s="3903"/>
      <c r="T43" s="3903">
        <f>G43</f>
        <v>1439</v>
      </c>
      <c r="U43" s="3903"/>
      <c r="V43" s="3903">
        <f>I43</f>
        <v>1475</v>
      </c>
      <c r="W43" s="3903"/>
      <c r="X43" s="1374"/>
      <c r="Y43" s="1393"/>
      <c r="Z43" s="1374"/>
      <c r="AA43" s="1374"/>
      <c r="AB43" s="1374"/>
      <c r="AC43" s="1374"/>
    </row>
    <row r="44" spans="1:29" ht="15" thickBot="1">
      <c r="A44" s="585" t="s">
        <v>1975</v>
      </c>
      <c r="B44" s="586"/>
      <c r="C44" s="587">
        <f>R45</f>
        <v>1494</v>
      </c>
      <c r="D44" s="2756" t="s">
        <v>2261</v>
      </c>
      <c r="E44" s="587">
        <f>R44</f>
        <v>1650</v>
      </c>
      <c r="F44" s="2757"/>
      <c r="G44" s="588">
        <f>T44</f>
        <v>1398</v>
      </c>
      <c r="H44" s="2757"/>
      <c r="I44" s="587">
        <f>V44</f>
        <v>1435</v>
      </c>
      <c r="J44" s="2757"/>
      <c r="K44" s="2758">
        <f>F44+H44+J44</f>
        <v>0</v>
      </c>
      <c r="L44" s="1866"/>
      <c r="M44" s="1856"/>
      <c r="N44" s="1856"/>
      <c r="O44" s="1867"/>
      <c r="P44" s="3902" t="str">
        <f>A44</f>
        <v>比较价格（元/平方米）</v>
      </c>
      <c r="Q44" s="3902"/>
      <c r="R44" s="3904">
        <f>ROUND(PRODUCT(R43,AA9:AA42),0)</f>
        <v>1650</v>
      </c>
      <c r="S44" s="3904"/>
      <c r="T44" s="3904">
        <f>ROUND(PRODUCT(T43,AB9:AB42),0)</f>
        <v>1398</v>
      </c>
      <c r="U44" s="3904"/>
      <c r="V44" s="3904">
        <f>ROUND(PRODUCT(V43,AC9:AC42),0)</f>
        <v>1435</v>
      </c>
      <c r="W44" s="3904"/>
      <c r="X44" s="1374"/>
      <c r="Y44" s="1374"/>
      <c r="Z44" s="1374"/>
      <c r="AA44" s="1374"/>
      <c r="AB44" s="1374"/>
      <c r="AC44" s="1374"/>
    </row>
    <row r="45" spans="1:29" ht="15" thickBot="1">
      <c r="A45" s="589" t="s">
        <v>2198</v>
      </c>
      <c r="B45" s="590"/>
      <c r="C45" s="591">
        <f>R45</f>
        <v>1494</v>
      </c>
      <c r="D45" s="591"/>
      <c r="E45" s="591"/>
      <c r="F45" s="591"/>
      <c r="G45" s="591"/>
      <c r="H45" s="591"/>
      <c r="I45" s="591"/>
      <c r="J45" s="591"/>
      <c r="K45" s="1201"/>
      <c r="L45" s="1866"/>
      <c r="M45" s="1856"/>
      <c r="N45" s="1856"/>
      <c r="O45" s="1867"/>
      <c r="P45" s="3939" t="str">
        <f>A45</f>
        <v>估价对象XX用房的比较价格（楼面单价，元/平方米）</v>
      </c>
      <c r="Q45" s="3940"/>
      <c r="R45" s="3952">
        <f>ROUND(IF(D44="简单平均",AVERAGE(R44:W44),R44*F44+T44*H44+V44*J44),0)</f>
        <v>1494</v>
      </c>
      <c r="S45" s="3952"/>
      <c r="T45" s="3952"/>
      <c r="U45" s="3952"/>
      <c r="V45" s="3952"/>
      <c r="W45" s="3952"/>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5.4545454545454453E-2</v>
      </c>
      <c r="F48" s="595" t="str">
        <f>IF(OR(E48&gt;=0.3,E48&lt;=-0.3),"超过30%","")</f>
        <v/>
      </c>
      <c r="G48" s="594">
        <f>IF(G43&lt;G44,G44/G43-1,G43/G44-1)</f>
        <v>2.9327610872675214E-2</v>
      </c>
      <c r="H48" s="595" t="str">
        <f>IF(OR(G48&gt;=0.3,G48&lt;=-0.3),"超过30%","")</f>
        <v/>
      </c>
      <c r="I48" s="594">
        <f>IF(I43&lt;I44,I44/I43-1,I43/I44-1)</f>
        <v>2.7874564459930307E-2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0.18025751072961382</v>
      </c>
      <c r="F49" s="595" t="str">
        <f>IF(OR(E49&gt;=0.2,E49&lt;=-0.2),"超过20%","")</f>
        <v/>
      </c>
      <c r="G49" s="594">
        <f>IF(G44&lt;I44,I44/G44-1,G44/I44-1)</f>
        <v>2.6466380543633816E-2</v>
      </c>
      <c r="H49" s="595" t="str">
        <f>IF(OR(G49&gt;=0.2,G49&lt;=-0.2),"超过20%","")</f>
        <v/>
      </c>
      <c r="I49" s="594">
        <f>IF(I44&lt;E44,E44/I44-1,I44/E44-1)</f>
        <v>0.14982578397212554</v>
      </c>
      <c r="J49" s="595" t="str">
        <f>IF(OR(I49&gt;=0.2,I49&lt;=-0.2),"超过20%","")</f>
        <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0.20917303683113264</v>
      </c>
      <c r="F50" s="595" t="str">
        <f>IF(OR(E50&gt;=0.3,E50&lt;=-0.3),"超过30%","")</f>
        <v/>
      </c>
      <c r="G50" s="594">
        <f>IF(G43&lt;I43,I43/G43-1,G43/I43-1)</f>
        <v>2.5017373175816537E-2</v>
      </c>
      <c r="H50" s="595" t="str">
        <f>IF(OR(G50&gt;=0.3,G50&lt;=-0.3),"超过30%","")</f>
        <v/>
      </c>
      <c r="I50" s="594">
        <f>IF(I43&lt;E43,E43/I43-1,I43/E43-1)</f>
        <v>0.1796610169491526</v>
      </c>
      <c r="J50" s="595" t="str">
        <f>IF(OR(I50&gt;=0.3,I50&lt;=-0.3),"超过30%","")</f>
        <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8" t="s">
        <v>1642</v>
      </c>
      <c r="H52" s="3949"/>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1494</v>
      </c>
      <c r="C53" s="603">
        <v>1</v>
      </c>
      <c r="D53" s="1946">
        <v>1</v>
      </c>
      <c r="E53" s="603">
        <f>'数据-汇总表'!E8+'数据-汇总表'!E9</f>
        <v>76200</v>
      </c>
      <c r="F53" s="1705">
        <f t="shared" ref="F53:F61" si="14">ROUND(B53*E53/10000,0)</f>
        <v>11384</v>
      </c>
      <c r="G53" s="3950"/>
      <c r="H53" s="3951"/>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11384</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75"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3705">
        <v>99.8</v>
      </c>
      <c r="E67" s="3705">
        <v>99.6</v>
      </c>
      <c r="F67" s="3705">
        <v>99.4</v>
      </c>
      <c r="G67" s="3705">
        <v>99.2</v>
      </c>
      <c r="H67" s="3705">
        <v>99</v>
      </c>
      <c r="I67" s="3705">
        <v>98.8</v>
      </c>
      <c r="J67" s="3705">
        <v>98.6</v>
      </c>
      <c r="K67" s="3705">
        <v>98.4</v>
      </c>
      <c r="L67" s="3705">
        <v>98.2</v>
      </c>
      <c r="M67" s="3705">
        <v>98</v>
      </c>
      <c r="N67" s="2274">
        <v>95</v>
      </c>
      <c r="O67" s="3705">
        <f t="shared" ref="O67:Z67" si="19">N67-$C$68</f>
        <v>94.5</v>
      </c>
      <c r="P67" s="3705">
        <f t="shared" si="19"/>
        <v>94</v>
      </c>
      <c r="Q67" s="3705">
        <f t="shared" si="19"/>
        <v>93.5</v>
      </c>
      <c r="R67" s="3705">
        <f t="shared" si="19"/>
        <v>93</v>
      </c>
      <c r="S67" s="3705">
        <f t="shared" si="19"/>
        <v>92.5</v>
      </c>
      <c r="T67" s="3705">
        <f t="shared" si="19"/>
        <v>92</v>
      </c>
      <c r="U67" s="3705">
        <f t="shared" si="19"/>
        <v>91.5</v>
      </c>
      <c r="V67" s="3705">
        <f t="shared" si="19"/>
        <v>91</v>
      </c>
      <c r="W67" s="3705">
        <f t="shared" si="19"/>
        <v>90.5</v>
      </c>
      <c r="X67" s="3705">
        <f t="shared" si="19"/>
        <v>90</v>
      </c>
      <c r="Y67" s="3705">
        <f t="shared" si="19"/>
        <v>89.5</v>
      </c>
      <c r="Z67" s="3705">
        <f t="shared" si="19"/>
        <v>89</v>
      </c>
      <c r="AA67" s="1745"/>
      <c r="AB67" s="1745"/>
      <c r="AC67" s="1745"/>
    </row>
    <row r="68" spans="1:29" s="1117" customFormat="1" ht="15" thickBot="1">
      <c r="A68" s="621" t="s">
        <v>523</v>
      </c>
      <c r="B68" s="622"/>
      <c r="C68" s="2271">
        <v>0.5</v>
      </c>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0（含）-0.5</v>
      </c>
      <c r="D75" s="650" t="str">
        <f t="shared" ref="D75:L75" si="20">D76&amp;"（含）"&amp;"-"&amp;E76</f>
        <v>0.5（含）-1</v>
      </c>
      <c r="E75" s="650" t="str">
        <f t="shared" si="20"/>
        <v>1（含）-1.5</v>
      </c>
      <c r="F75" s="650" t="str">
        <f t="shared" si="20"/>
        <v>1.5（含）-2</v>
      </c>
      <c r="G75" s="650" t="str">
        <f t="shared" si="20"/>
        <v>2（含）-2.5</v>
      </c>
      <c r="H75" s="650" t="str">
        <f t="shared" si="20"/>
        <v>2.5（含）-</v>
      </c>
      <c r="I75" s="650" t="str">
        <f t="shared" si="20"/>
        <v>（含）-</v>
      </c>
      <c r="J75" s="650" t="str">
        <f t="shared" si="20"/>
        <v>（含）-</v>
      </c>
      <c r="K75" s="650" t="str">
        <f t="shared" si="20"/>
        <v>（含）-</v>
      </c>
      <c r="L75" s="650" t="str">
        <f t="shared" si="20"/>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0.5</v>
      </c>
      <c r="E76" s="511">
        <v>1</v>
      </c>
      <c r="F76" s="511">
        <v>1.5</v>
      </c>
      <c r="G76" s="511">
        <v>2</v>
      </c>
      <c r="H76" s="511">
        <v>2.5</v>
      </c>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1">IF($B$43="单位面积地价",C77+$K13,C77-$K13)</f>
        <v>102</v>
      </c>
      <c r="E77" s="647">
        <f t="shared" si="21"/>
        <v>104</v>
      </c>
      <c r="F77" s="647">
        <f t="shared" si="21"/>
        <v>106</v>
      </c>
      <c r="G77" s="647">
        <f t="shared" si="21"/>
        <v>108</v>
      </c>
      <c r="H77" s="647">
        <f t="shared" si="21"/>
        <v>110</v>
      </c>
      <c r="I77" s="647">
        <f t="shared" si="21"/>
        <v>112</v>
      </c>
      <c r="J77" s="647">
        <f t="shared" si="21"/>
        <v>114</v>
      </c>
      <c r="K77" s="647">
        <f t="shared" si="21"/>
        <v>116</v>
      </c>
      <c r="L77" s="647">
        <f t="shared" si="21"/>
        <v>118</v>
      </c>
      <c r="M77" s="647">
        <f t="shared" si="21"/>
        <v>120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3414</v>
      </c>
      <c r="D100" s="3704" t="s">
        <v>3415</v>
      </c>
      <c r="E100" s="3704" t="s">
        <v>3416</v>
      </c>
      <c r="F100" s="3704" t="s">
        <v>3417</v>
      </c>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4">C101-$K32</f>
        <v>98</v>
      </c>
      <c r="E101" s="647">
        <f t="shared" si="24"/>
        <v>96</v>
      </c>
      <c r="F101" s="647">
        <f t="shared" si="24"/>
        <v>94</v>
      </c>
      <c r="G101" s="647">
        <f t="shared" si="24"/>
        <v>92</v>
      </c>
      <c r="H101" s="647">
        <f t="shared" si="24"/>
        <v>90</v>
      </c>
      <c r="I101" s="647">
        <f t="shared" si="24"/>
        <v>88</v>
      </c>
      <c r="J101" s="647">
        <f t="shared" si="24"/>
        <v>86</v>
      </c>
      <c r="K101" s="647">
        <f t="shared" si="24"/>
        <v>84</v>
      </c>
      <c r="L101" s="647">
        <f t="shared" si="24"/>
        <v>82</v>
      </c>
      <c r="M101" s="647">
        <f t="shared" si="24"/>
        <v>80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5">C109&amp;"(含)"&amp;"-"&amp;D109</f>
        <v>0(含)-30000</v>
      </c>
      <c r="D108" s="672" t="str">
        <f t="shared" si="25"/>
        <v>30000(含)-60000</v>
      </c>
      <c r="E108" s="672" t="str">
        <f t="shared" si="25"/>
        <v>60000(含)-90000</v>
      </c>
      <c r="F108" s="672" t="str">
        <f t="shared" si="25"/>
        <v>90000(含)-120000</v>
      </c>
      <c r="G108" s="672" t="str">
        <f t="shared" si="25"/>
        <v>120000(含)-</v>
      </c>
      <c r="H108" s="672" t="str">
        <f t="shared" si="25"/>
        <v>(含)-</v>
      </c>
      <c r="I108" s="672" t="str">
        <f t="shared" si="25"/>
        <v>(含)-</v>
      </c>
      <c r="J108" s="672" t="str">
        <f t="shared" si="25"/>
        <v>(含)-</v>
      </c>
      <c r="K108" s="2536" t="str">
        <f t="shared" si="25"/>
        <v>(含)-</v>
      </c>
      <c r="L108" s="2537" t="str">
        <f t="shared" si="25"/>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98</v>
      </c>
      <c r="E110" s="694">
        <v>96</v>
      </c>
      <c r="F110" s="694">
        <v>94</v>
      </c>
      <c r="G110" s="694">
        <v>92</v>
      </c>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3411</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6">C112-$K37</f>
        <v>95</v>
      </c>
      <c r="E112" s="647">
        <f t="shared" si="26"/>
        <v>90</v>
      </c>
      <c r="F112" s="647">
        <f t="shared" si="26"/>
        <v>85</v>
      </c>
      <c r="G112" s="647">
        <f t="shared" si="26"/>
        <v>80</v>
      </c>
      <c r="H112" s="647">
        <f t="shared" si="26"/>
        <v>75</v>
      </c>
      <c r="I112" s="647">
        <f t="shared" si="26"/>
        <v>70</v>
      </c>
      <c r="J112" s="647">
        <f t="shared" si="26"/>
        <v>65</v>
      </c>
      <c r="K112" s="647">
        <f t="shared" si="26"/>
        <v>60</v>
      </c>
      <c r="L112" s="647">
        <f t="shared" si="26"/>
        <v>55</v>
      </c>
      <c r="M112" s="648">
        <f t="shared" si="26"/>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4:R32"/>
  <sheetViews>
    <sheetView topLeftCell="A19" workbookViewId="0">
      <selection activeCell="G48" sqref="G48"/>
    </sheetView>
  </sheetViews>
  <sheetFormatPr defaultRowHeight="14.4"/>
  <cols>
    <col min="16" max="16" width="11.44140625" customWidth="1"/>
  </cols>
  <sheetData>
    <row r="24" spans="14:18">
      <c r="N24" s="3724"/>
      <c r="O24">
        <f>38563.6845/25709.123</f>
        <v>1.5000000000000002</v>
      </c>
      <c r="P24">
        <v>25709.123</v>
      </c>
      <c r="R24" s="3725" t="s">
        <v>3421</v>
      </c>
    </row>
    <row r="26" spans="14:18">
      <c r="N26" s="3724"/>
      <c r="O26">
        <f>74814.92/37407.46</f>
        <v>2</v>
      </c>
      <c r="P26">
        <v>37407.46</v>
      </c>
    </row>
    <row r="32" spans="14:18">
      <c r="N32" s="3724"/>
      <c r="O32">
        <f>81190.958/54179.97</f>
        <v>1.4985419519427567</v>
      </c>
      <c r="P32">
        <v>54179.972000000002</v>
      </c>
    </row>
  </sheetData>
  <phoneticPr fontId="224" type="noConversion"/>
  <hyperlinks>
    <hyperlink ref="R24" r:id="rId1"/>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8" sqref="B8"/>
    </sheetView>
  </sheetViews>
  <sheetFormatPr defaultColWidth="9" defaultRowHeight="14.4"/>
  <cols>
    <col min="1" max="1" width="22.33203125" style="3701" customWidth="1"/>
    <col min="2" max="2" width="22.6640625" style="3701" customWidth="1"/>
    <col min="3" max="3" width="22.21875" style="3701" customWidth="1"/>
    <col min="4" max="4" width="21.88671875" style="3701" customWidth="1"/>
    <col min="5" max="16384" width="9" style="3701"/>
  </cols>
  <sheetData>
    <row r="1" spans="1:4">
      <c r="A1" s="3700"/>
      <c r="B1" s="3700" t="s">
        <v>3354</v>
      </c>
      <c r="C1" s="3700"/>
      <c r="D1" s="3700"/>
    </row>
    <row r="2" spans="1:4">
      <c r="A2" s="3700"/>
      <c r="B2" s="3700" t="s">
        <v>3355</v>
      </c>
      <c r="C2" s="3700"/>
      <c r="D2" s="3700"/>
    </row>
    <row r="3" spans="1:4">
      <c r="A3" s="3700"/>
      <c r="B3" s="3700" t="s">
        <v>3356</v>
      </c>
      <c r="C3" s="3700"/>
      <c r="D3" s="3700"/>
    </row>
    <row r="4" spans="1:4">
      <c r="A4" s="3700"/>
      <c r="B4" s="3702" t="s">
        <v>3358</v>
      </c>
      <c r="C4" s="3702" t="s">
        <v>3358</v>
      </c>
      <c r="D4" s="3702" t="s">
        <v>3359</v>
      </c>
    </row>
    <row r="5" spans="1:4">
      <c r="A5" s="3700" t="s">
        <v>3360</v>
      </c>
      <c r="B5" s="3702" t="s">
        <v>3361</v>
      </c>
      <c r="C5" s="3700" t="s">
        <v>3311</v>
      </c>
      <c r="D5" s="3700" t="s">
        <v>3315</v>
      </c>
    </row>
    <row r="6" spans="1:4">
      <c r="A6" s="3702" t="s">
        <v>3362</v>
      </c>
      <c r="B6" s="3702" t="s">
        <v>3310</v>
      </c>
      <c r="C6" s="3702" t="s">
        <v>3310</v>
      </c>
      <c r="D6" s="3700" t="s">
        <v>3401</v>
      </c>
    </row>
    <row r="7" spans="1:4">
      <c r="A7" s="3700" t="s">
        <v>3363</v>
      </c>
      <c r="B7" s="3700" t="s">
        <v>3364</v>
      </c>
      <c r="C7" s="3700" t="s">
        <v>3364</v>
      </c>
      <c r="D7" s="3700" t="s">
        <v>3364</v>
      </c>
    </row>
    <row r="8" spans="1:4">
      <c r="A8" s="3702" t="s">
        <v>3365</v>
      </c>
      <c r="B8" s="3703">
        <v>43525</v>
      </c>
      <c r="C8" s="3703">
        <v>43525</v>
      </c>
      <c r="D8" s="3703">
        <v>43983</v>
      </c>
    </row>
    <row r="9" spans="1:4">
      <c r="A9" s="3702" t="s">
        <v>3366</v>
      </c>
      <c r="B9" s="3702" t="s">
        <v>3367</v>
      </c>
      <c r="C9" s="3700" t="s">
        <v>3368</v>
      </c>
      <c r="D9" s="3700" t="s">
        <v>3368</v>
      </c>
    </row>
    <row r="10" spans="1:4">
      <c r="A10" s="3700" t="s">
        <v>3369</v>
      </c>
      <c r="B10" s="3700" t="s">
        <v>3305</v>
      </c>
      <c r="C10" s="3700" t="s">
        <v>3305</v>
      </c>
      <c r="D10" s="3700" t="s">
        <v>3305</v>
      </c>
    </row>
    <row r="11" spans="1:4">
      <c r="A11" s="3702" t="s">
        <v>3370</v>
      </c>
      <c r="B11" s="3700" t="s">
        <v>905</v>
      </c>
      <c r="C11" s="3700" t="s">
        <v>905</v>
      </c>
      <c r="D11" s="3700" t="s">
        <v>905</v>
      </c>
    </row>
    <row r="12" spans="1:4">
      <c r="A12" s="3702" t="s">
        <v>3371</v>
      </c>
      <c r="B12" s="3700" t="s">
        <v>3372</v>
      </c>
      <c r="C12" s="3700" t="s">
        <v>3372</v>
      </c>
      <c r="D12" s="3700" t="s">
        <v>3372</v>
      </c>
    </row>
    <row r="13" spans="1:4">
      <c r="A13" s="3700" t="s">
        <v>3373</v>
      </c>
      <c r="B13" s="3700">
        <v>57037.940999999999</v>
      </c>
      <c r="C13" s="3700">
        <v>63417.17</v>
      </c>
      <c r="D13" s="3700">
        <v>3586.3</v>
      </c>
    </row>
    <row r="14" spans="1:4">
      <c r="A14" s="3702" t="s">
        <v>3374</v>
      </c>
      <c r="B14" s="3700">
        <v>4319</v>
      </c>
      <c r="C14" s="3700">
        <v>4319</v>
      </c>
      <c r="D14" s="3700">
        <v>4577</v>
      </c>
    </row>
    <row r="15" spans="1:4">
      <c r="A15" s="3702" t="s">
        <v>3375</v>
      </c>
      <c r="B15" s="3700">
        <v>1</v>
      </c>
      <c r="C15" s="3700">
        <v>1</v>
      </c>
      <c r="D15" s="3700">
        <v>1</v>
      </c>
    </row>
    <row r="16" spans="1:4">
      <c r="A16" s="3700" t="s">
        <v>3376</v>
      </c>
      <c r="B16" s="3700">
        <v>4319</v>
      </c>
      <c r="C16" s="3700">
        <v>4319</v>
      </c>
      <c r="D16" s="3700">
        <v>4577</v>
      </c>
    </row>
    <row r="17" spans="1:4">
      <c r="A17" s="3700" t="s">
        <v>3377</v>
      </c>
      <c r="B17" s="3700">
        <v>287.93</v>
      </c>
      <c r="C17" s="3700">
        <v>287.93</v>
      </c>
      <c r="D17" s="3700">
        <v>305.13</v>
      </c>
    </row>
    <row r="18" spans="1:4">
      <c r="A18" s="3700" t="s">
        <v>3378</v>
      </c>
      <c r="B18" s="3953">
        <v>4183</v>
      </c>
      <c r="C18" s="3953"/>
      <c r="D18" s="3953"/>
    </row>
    <row r="19" spans="1:4">
      <c r="A19" s="3700" t="s">
        <v>3379</v>
      </c>
      <c r="B19" s="3953">
        <v>278.87</v>
      </c>
      <c r="C19" s="3953"/>
      <c r="D19" s="3953"/>
    </row>
    <row r="20" spans="1:4">
      <c r="A20" s="3700"/>
      <c r="B20" s="3700"/>
      <c r="C20" s="3700"/>
      <c r="D20" s="3700"/>
    </row>
  </sheetData>
  <mergeCells count="2">
    <mergeCell ref="B18:D18"/>
    <mergeCell ref="B19:D19"/>
  </mergeCells>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699" customWidth="1"/>
    <col min="2" max="2" width="26.88671875" style="3699" customWidth="1"/>
    <col min="3" max="3" width="28.88671875" style="3699" customWidth="1"/>
    <col min="4" max="4" width="13.44140625" style="3699" customWidth="1"/>
    <col min="5" max="5" width="9.21875" style="3699" customWidth="1"/>
    <col min="6" max="7" width="9" style="3699"/>
    <col min="8" max="9" width="0" style="3699" hidden="1" customWidth="1"/>
    <col min="10" max="10" width="11.77734375" style="3699" hidden="1" customWidth="1"/>
    <col min="11" max="11" width="9" style="3699"/>
    <col min="12" max="12" width="20" style="3699" customWidth="1"/>
    <col min="13" max="13" width="17.44140625" style="3279" customWidth="1"/>
    <col min="14" max="14" width="12.77734375" style="3279" customWidth="1"/>
    <col min="15" max="15" width="13.88671875" style="3690" customWidth="1"/>
    <col min="16" max="16384" width="9" style="3279"/>
  </cols>
  <sheetData>
    <row r="1" spans="1:17">
      <c r="A1" s="3691" t="s">
        <v>3268</v>
      </c>
      <c r="B1" s="3691" t="s">
        <v>3289</v>
      </c>
      <c r="C1" s="3691" t="s">
        <v>3290</v>
      </c>
      <c r="D1" s="3691" t="s">
        <v>3291</v>
      </c>
      <c r="E1" s="3691" t="s">
        <v>3292</v>
      </c>
      <c r="F1" s="3691" t="s">
        <v>3293</v>
      </c>
      <c r="G1" s="3691" t="s">
        <v>2213</v>
      </c>
      <c r="H1" s="3691" t="s">
        <v>3294</v>
      </c>
      <c r="I1" s="3691" t="s">
        <v>3295</v>
      </c>
      <c r="J1" s="3691" t="s">
        <v>3296</v>
      </c>
      <c r="K1" s="3691" t="s">
        <v>3297</v>
      </c>
      <c r="L1" s="3691" t="s">
        <v>3298</v>
      </c>
      <c r="M1" s="3691" t="s">
        <v>3299</v>
      </c>
      <c r="N1" s="3691" t="s">
        <v>3300</v>
      </c>
      <c r="O1" s="3691" t="s">
        <v>3301</v>
      </c>
      <c r="Q1" s="3691" t="s">
        <v>3302</v>
      </c>
    </row>
    <row r="2" spans="1:17" s="3687" customFormat="1">
      <c r="A2" s="3686">
        <v>1</v>
      </c>
      <c r="B2" s="3693" t="s">
        <v>3303</v>
      </c>
      <c r="C2" s="3693" t="s">
        <v>3304</v>
      </c>
      <c r="D2" s="3686" t="s">
        <v>3305</v>
      </c>
      <c r="E2" s="3693" t="s">
        <v>3306</v>
      </c>
      <c r="F2" s="3686" t="s">
        <v>905</v>
      </c>
      <c r="G2" s="3686">
        <v>57037.940999999999</v>
      </c>
      <c r="H2" s="3686"/>
      <c r="I2" s="3693" t="s">
        <v>3307</v>
      </c>
      <c r="J2" s="3693"/>
      <c r="K2" s="3686">
        <v>4319</v>
      </c>
      <c r="L2" s="3693" t="s">
        <v>3308</v>
      </c>
      <c r="M2" s="3693" t="s">
        <v>3309</v>
      </c>
      <c r="N2" s="3693"/>
      <c r="O2" s="3686"/>
    </row>
    <row r="3" spans="1:17" s="3687" customFormat="1">
      <c r="A3" s="3686">
        <v>2</v>
      </c>
      <c r="B3" s="3693" t="s">
        <v>3408</v>
      </c>
      <c r="C3" s="3686" t="s">
        <v>3311</v>
      </c>
      <c r="D3" s="3686" t="s">
        <v>3305</v>
      </c>
      <c r="E3" s="3693" t="s">
        <v>3306</v>
      </c>
      <c r="F3" s="3686" t="s">
        <v>905</v>
      </c>
      <c r="G3" s="3686">
        <v>63417.17</v>
      </c>
      <c r="H3" s="3686"/>
      <c r="I3" s="3693" t="s">
        <v>3312</v>
      </c>
      <c r="J3" s="3693"/>
      <c r="K3" s="3686">
        <v>4319</v>
      </c>
      <c r="L3" s="3686">
        <v>43525</v>
      </c>
      <c r="M3" s="3693" t="s">
        <v>3313</v>
      </c>
      <c r="N3" s="3693"/>
      <c r="O3" s="3686"/>
    </row>
    <row r="4" spans="1:17" s="3682" customFormat="1">
      <c r="A4" s="3681">
        <v>3</v>
      </c>
      <c r="B4" s="3681" t="s">
        <v>3314</v>
      </c>
      <c r="C4" s="3681" t="s">
        <v>3315</v>
      </c>
      <c r="D4" s="3681" t="s">
        <v>3305</v>
      </c>
      <c r="E4" s="3694" t="s">
        <v>3306</v>
      </c>
      <c r="F4" s="3681" t="s">
        <v>905</v>
      </c>
      <c r="G4" s="3681">
        <v>3586.3</v>
      </c>
      <c r="H4" s="3681"/>
      <c r="I4" s="3694" t="s">
        <v>3316</v>
      </c>
      <c r="J4" s="3694"/>
      <c r="K4" s="3681">
        <v>4577</v>
      </c>
      <c r="L4" s="3681">
        <v>43983</v>
      </c>
      <c r="M4" s="3694" t="s">
        <v>3317</v>
      </c>
      <c r="N4" s="3694"/>
      <c r="O4" s="3681"/>
    </row>
    <row r="5" spans="1:17" s="3682" customFormat="1">
      <c r="A5" s="3681">
        <v>4</v>
      </c>
      <c r="B5" s="3694" t="s">
        <v>3318</v>
      </c>
      <c r="C5" s="3694" t="s">
        <v>3319</v>
      </c>
      <c r="D5" s="3694" t="s">
        <v>3320</v>
      </c>
      <c r="E5" s="3694" t="s">
        <v>3321</v>
      </c>
      <c r="F5" s="3694" t="s">
        <v>3322</v>
      </c>
      <c r="G5" s="3681">
        <v>101739</v>
      </c>
      <c r="H5" s="3681">
        <v>23898.42</v>
      </c>
      <c r="I5" s="3681"/>
      <c r="J5" s="3681">
        <v>42480.5</v>
      </c>
      <c r="K5" s="3681">
        <f>ROUND(J5/G5*10000,0)</f>
        <v>4175</v>
      </c>
      <c r="L5" s="3681">
        <v>44500</v>
      </c>
      <c r="M5" s="3694" t="s">
        <v>3323</v>
      </c>
      <c r="N5" s="3694"/>
      <c r="O5" s="3681"/>
    </row>
    <row r="6" spans="1:17">
      <c r="A6" s="3690">
        <v>5</v>
      </c>
      <c r="B6" s="3691" t="s">
        <v>3324</v>
      </c>
      <c r="C6" s="3691" t="s">
        <v>3325</v>
      </c>
      <c r="D6" s="3691" t="s">
        <v>3326</v>
      </c>
      <c r="E6" s="3691" t="s">
        <v>3327</v>
      </c>
      <c r="F6" s="3691" t="s">
        <v>2724</v>
      </c>
      <c r="G6" s="3690">
        <v>22881.07</v>
      </c>
      <c r="H6" s="3690"/>
      <c r="I6" s="3690"/>
      <c r="J6" s="3690">
        <v>18956.966499999999</v>
      </c>
      <c r="K6" s="3690">
        <f>ROUND(J6/G6*10000,0)</f>
        <v>8285</v>
      </c>
      <c r="L6" s="3690">
        <v>44887</v>
      </c>
      <c r="M6" s="3691" t="s">
        <v>3328</v>
      </c>
      <c r="N6" s="3691"/>
    </row>
    <row r="7" spans="1:17">
      <c r="A7" s="3690">
        <v>6</v>
      </c>
      <c r="B7" s="3695" t="s">
        <v>3329</v>
      </c>
      <c r="C7" s="3691" t="s">
        <v>3330</v>
      </c>
      <c r="D7" s="3691" t="s">
        <v>3326</v>
      </c>
      <c r="E7" s="3691" t="s">
        <v>3321</v>
      </c>
      <c r="F7" s="3691" t="s">
        <v>3331</v>
      </c>
      <c r="G7" s="3690">
        <v>1474.95</v>
      </c>
      <c r="H7" s="3690"/>
      <c r="I7" s="3690"/>
      <c r="J7" s="3690"/>
      <c r="K7" s="3690">
        <v>3642</v>
      </c>
      <c r="L7" s="3690">
        <v>44453</v>
      </c>
      <c r="M7" s="3691" t="s">
        <v>3332</v>
      </c>
      <c r="N7" s="3691">
        <v>56815</v>
      </c>
      <c r="O7" s="3691">
        <v>31.89</v>
      </c>
      <c r="P7" s="3279">
        <f>K7/Q7</f>
        <v>4213.3271633503009</v>
      </c>
      <c r="Q7" s="3279">
        <v>0.86439999999999995</v>
      </c>
    </row>
    <row r="8" spans="1:17" s="3677" customFormat="1">
      <c r="A8" s="3676">
        <v>7</v>
      </c>
      <c r="B8" s="3696" t="s">
        <v>3333</v>
      </c>
      <c r="C8" s="3696" t="s">
        <v>3334</v>
      </c>
      <c r="D8" s="3696" t="s">
        <v>3335</v>
      </c>
      <c r="E8" s="3696" t="s">
        <v>3336</v>
      </c>
      <c r="F8" s="3696" t="s">
        <v>3322</v>
      </c>
      <c r="G8" s="3676">
        <v>5602.96</v>
      </c>
      <c r="H8" s="3676"/>
      <c r="I8" s="3676"/>
      <c r="J8" s="3676"/>
      <c r="K8" s="3676">
        <v>3303</v>
      </c>
      <c r="L8" s="3676">
        <v>44453</v>
      </c>
      <c r="M8" s="3696" t="s">
        <v>3332</v>
      </c>
      <c r="N8" s="3696">
        <v>55794</v>
      </c>
      <c r="O8" s="3676">
        <v>29.09</v>
      </c>
      <c r="Q8" s="3697" t="s">
        <v>3316</v>
      </c>
    </row>
    <row r="9" spans="1:17" s="3677" customFormat="1">
      <c r="A9" s="3676">
        <v>8</v>
      </c>
      <c r="B9" s="3696" t="s">
        <v>3337</v>
      </c>
      <c r="C9" s="3696" t="s">
        <v>3338</v>
      </c>
      <c r="D9" s="3696" t="s">
        <v>3326</v>
      </c>
      <c r="E9" s="3696" t="s">
        <v>3339</v>
      </c>
      <c r="F9" s="3696" t="s">
        <v>3340</v>
      </c>
      <c r="G9" s="3676">
        <v>43710.55</v>
      </c>
      <c r="H9" s="3676"/>
      <c r="I9" s="3676"/>
      <c r="J9" s="3676"/>
      <c r="K9" s="3676">
        <v>4779</v>
      </c>
      <c r="L9" s="3676">
        <v>43514</v>
      </c>
      <c r="M9" s="3696" t="s">
        <v>3332</v>
      </c>
      <c r="N9" s="3698">
        <v>55774</v>
      </c>
      <c r="O9" s="3676">
        <v>29.04</v>
      </c>
      <c r="P9" s="3677">
        <v>33.58</v>
      </c>
    </row>
    <row r="10" spans="1:17" s="3677" customFormat="1">
      <c r="A10" s="3676">
        <v>9</v>
      </c>
      <c r="B10" s="3696" t="s">
        <v>3341</v>
      </c>
      <c r="C10" s="3696" t="s">
        <v>3342</v>
      </c>
      <c r="D10" s="3696" t="s">
        <v>3343</v>
      </c>
      <c r="E10" s="3696" t="s">
        <v>3321</v>
      </c>
      <c r="F10" s="3696" t="s">
        <v>2724</v>
      </c>
      <c r="G10" s="3676">
        <v>3410</v>
      </c>
      <c r="H10" s="3676"/>
      <c r="I10" s="3676"/>
      <c r="J10" s="3676"/>
      <c r="K10" s="3676">
        <v>4367</v>
      </c>
      <c r="L10" s="3676">
        <v>43514</v>
      </c>
      <c r="M10" s="3696" t="s">
        <v>3344</v>
      </c>
      <c r="N10" s="3698">
        <v>53243</v>
      </c>
      <c r="O10" s="3676">
        <v>22.1</v>
      </c>
      <c r="P10" s="3677">
        <v>26.65</v>
      </c>
    </row>
    <row r="11" spans="1:17" s="3687" customFormat="1">
      <c r="A11" s="3686">
        <v>10</v>
      </c>
      <c r="B11" s="3693" t="s">
        <v>3345</v>
      </c>
      <c r="C11" s="3693" t="s">
        <v>3346</v>
      </c>
      <c r="D11" s="3693" t="s">
        <v>3320</v>
      </c>
      <c r="E11" s="3693" t="s">
        <v>3347</v>
      </c>
      <c r="F11" s="3693" t="s">
        <v>2724</v>
      </c>
      <c r="G11" s="3686">
        <v>4793.8500000000004</v>
      </c>
      <c r="H11" s="3686"/>
      <c r="I11" s="3686"/>
      <c r="J11" s="3686"/>
      <c r="K11" s="3686">
        <f>ROUND(17497600/G11,0)</f>
        <v>3650</v>
      </c>
      <c r="L11" s="3686">
        <v>43368</v>
      </c>
      <c r="M11" s="3693" t="s">
        <v>3348</v>
      </c>
      <c r="O11" s="3686">
        <v>45173</v>
      </c>
    </row>
    <row r="12" spans="1:17">
      <c r="A12" s="3690"/>
      <c r="B12" s="3690"/>
      <c r="C12" s="3690"/>
      <c r="D12" s="3690"/>
      <c r="E12" s="3690"/>
      <c r="F12" s="3690"/>
      <c r="G12" s="3690"/>
      <c r="H12" s="3690"/>
      <c r="I12" s="3690"/>
      <c r="J12" s="3690"/>
      <c r="K12" s="3690"/>
      <c r="L12" s="3690"/>
    </row>
    <row r="13" spans="1:17">
      <c r="A13" s="3690"/>
      <c r="B13" s="3690"/>
      <c r="C13" s="3690"/>
      <c r="D13" s="3690"/>
      <c r="E13" s="3690"/>
      <c r="F13" s="3690"/>
      <c r="G13" s="3690"/>
      <c r="H13" s="3690"/>
      <c r="I13" s="3690"/>
      <c r="J13" s="3690"/>
      <c r="K13" s="3690"/>
      <c r="L13" s="3690"/>
    </row>
    <row r="14" spans="1:17">
      <c r="A14" s="3690"/>
      <c r="B14" s="3690"/>
      <c r="C14" s="3690"/>
      <c r="D14" s="3690"/>
      <c r="E14" s="3690"/>
      <c r="F14" s="3690"/>
      <c r="G14" s="3690"/>
      <c r="H14" s="3690"/>
      <c r="I14" s="3690"/>
      <c r="J14" s="3690"/>
      <c r="K14" s="3690"/>
      <c r="L14" s="3690"/>
    </row>
    <row r="15" spans="1:17">
      <c r="A15" s="3690"/>
      <c r="B15" s="3690"/>
      <c r="C15" s="3690"/>
      <c r="D15" s="3690"/>
      <c r="E15" s="3690"/>
      <c r="F15" s="3690"/>
      <c r="G15" s="3690"/>
      <c r="H15" s="3690"/>
      <c r="I15" s="3690"/>
      <c r="J15" s="3690"/>
      <c r="K15" s="3690"/>
      <c r="L15" s="3690"/>
    </row>
    <row r="16" spans="1:17">
      <c r="A16" s="3690"/>
      <c r="B16" s="3690"/>
      <c r="C16" s="3690"/>
      <c r="D16" s="3690"/>
      <c r="E16" s="3690"/>
      <c r="F16" s="3690"/>
      <c r="G16" s="3690"/>
      <c r="H16" s="3690"/>
      <c r="I16" s="3690"/>
      <c r="J16" s="3690"/>
      <c r="K16" s="3690"/>
      <c r="L16" s="3690"/>
    </row>
    <row r="17" spans="1:12">
      <c r="A17" s="3690"/>
      <c r="B17" s="3690"/>
      <c r="C17" s="3690"/>
      <c r="D17" s="3690"/>
      <c r="E17" s="3690"/>
      <c r="F17" s="3690"/>
      <c r="G17" s="3690"/>
      <c r="H17" s="3690"/>
      <c r="I17" s="3690"/>
      <c r="J17" s="3690"/>
      <c r="K17" s="3690"/>
      <c r="L17" s="3690"/>
    </row>
    <row r="18" spans="1:12">
      <c r="A18" s="3690"/>
      <c r="B18" s="3690"/>
      <c r="C18" s="3690"/>
      <c r="D18" s="3690"/>
      <c r="E18" s="3690"/>
      <c r="F18" s="3690"/>
      <c r="G18" s="3690"/>
      <c r="H18" s="3690"/>
      <c r="I18" s="3690"/>
      <c r="J18" s="3690"/>
      <c r="K18" s="3690"/>
      <c r="L18" s="3690"/>
    </row>
    <row r="19" spans="1:12">
      <c r="A19" s="3690"/>
      <c r="B19" s="3690"/>
      <c r="C19" s="3690"/>
      <c r="D19" s="3690"/>
      <c r="E19" s="3690"/>
      <c r="F19" s="3690"/>
      <c r="G19" s="3690"/>
      <c r="H19" s="3690"/>
      <c r="I19" s="3690"/>
      <c r="J19" s="3690"/>
      <c r="K19" s="3690"/>
      <c r="L19" s="3690"/>
    </row>
  </sheetData>
  <phoneticPr fontId="22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I24" sqref="I24"/>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76200</v>
      </c>
      <c r="E1" s="1260" t="s">
        <v>1779</v>
      </c>
      <c r="F1" s="2104">
        <f>'数据-汇总表'!D3</f>
        <v>76200</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1">
        <f>C30</f>
        <v>17092</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Ⅶ-昌3</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3184</v>
      </c>
      <c r="U2" s="2405"/>
      <c r="V2" s="2415">
        <f>ROUND(T2*U2/10000,0)</f>
        <v>0</v>
      </c>
      <c r="W2" s="1910"/>
      <c r="X2" s="1910"/>
      <c r="Y2" s="1910"/>
      <c r="Z2" s="1910"/>
      <c r="AA2" s="1910"/>
      <c r="AB2" s="1910"/>
      <c r="AC2" s="1911"/>
    </row>
    <row r="3" spans="1:39" ht="15.6">
      <c r="A3" s="1265" t="s">
        <v>1220</v>
      </c>
      <c r="B3" s="991">
        <f>ROUND(B2*10000/D1,0)</f>
        <v>2243</v>
      </c>
      <c r="C3" s="1261" t="s">
        <v>855</v>
      </c>
      <c r="D3" s="1262" t="s">
        <v>856</v>
      </c>
      <c r="E3" s="1266" t="s">
        <v>2512</v>
      </c>
      <c r="F3" s="1267" t="s">
        <v>3397</v>
      </c>
      <c r="G3" s="992">
        <f>IF(F3="宗地容积率",'数据-汇总表'!I4,IF(F3="估价对象容积率",'数据-汇总表'!I6,'数据-汇总表'!I7))</f>
        <v>1</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2509</v>
      </c>
      <c r="U3" s="2405"/>
      <c r="V3" s="2415">
        <f t="shared" ref="V3:V16" si="1">ROUND(T3*U3/10000,0)</f>
        <v>0</v>
      </c>
      <c r="W3" s="1910"/>
      <c r="X3" s="1910"/>
      <c r="Y3" s="1910"/>
      <c r="Z3" s="1910"/>
      <c r="AA3" s="1910"/>
      <c r="AB3" s="1910"/>
      <c r="AC3" s="1911"/>
    </row>
    <row r="4" spans="1:39" ht="31.2">
      <c r="A4" s="1646" t="s">
        <v>1638</v>
      </c>
      <c r="B4" s="2105">
        <f>ROUND(B2*10000/F1,0)</f>
        <v>2243</v>
      </c>
      <c r="C4" s="1649" t="s">
        <v>1613</v>
      </c>
      <c r="D4" s="1649">
        <f>ROUND(B2/(F1/666.67),0)</f>
        <v>150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2121</v>
      </c>
      <c r="U4" s="2405"/>
      <c r="V4" s="2415">
        <f t="shared" si="1"/>
        <v>0</v>
      </c>
      <c r="W4" s="1910"/>
      <c r="X4" s="1910"/>
      <c r="Y4" s="1910"/>
      <c r="Z4" s="1910"/>
      <c r="AA4" s="1910"/>
      <c r="AB4" s="1910"/>
      <c r="AC4" s="1911"/>
    </row>
    <row r="5" spans="1:39" s="1275" customFormat="1" ht="15.6" thickBot="1">
      <c r="A5" s="1443" t="s">
        <v>1352</v>
      </c>
      <c r="B5" s="1269" t="s">
        <v>859</v>
      </c>
      <c r="C5" s="994">
        <f>ROUND(IF(E2="商业",C6*C7*C17+C20,(IF(E2="住宅",C6*C13*C17+C20,IF(E2="办公",C6*C12*C17+C20,C6+C20)))),0)</f>
        <v>1690</v>
      </c>
      <c r="D5" s="2547">
        <f>ROUND(C6*C17+C20,0)</f>
        <v>1690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0.88239999999999996</v>
      </c>
      <c r="T5" s="2415">
        <f t="shared" si="0"/>
        <v>1870</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1690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1798</v>
      </c>
      <c r="U6" s="2405"/>
      <c r="V6" s="2415">
        <f t="shared" si="1"/>
        <v>0</v>
      </c>
      <c r="W6" s="1910"/>
      <c r="X6" s="1910"/>
      <c r="Y6" s="1910"/>
      <c r="Z6" s="1910"/>
      <c r="AA6" s="1910"/>
      <c r="AB6" s="1910"/>
      <c r="AC6" s="1912"/>
      <c r="AD6" s="1273"/>
      <c r="AE6" s="1273"/>
      <c r="AF6" s="1273"/>
      <c r="AG6" s="1273"/>
      <c r="AH6" s="1273"/>
      <c r="AI6" s="1273"/>
      <c r="AJ6" s="1274"/>
    </row>
    <row r="7" spans="1:39" ht="24.6" thickBot="1">
      <c r="A7" s="3524" t="s">
        <v>3197</v>
      </c>
      <c r="B7" s="1277" t="s">
        <v>860</v>
      </c>
      <c r="C7" s="3525">
        <f>IF(C8="不临65条商业街",1,ROUND(1+(1.6*E8+1.2*E9+0.8*E10+0.4*E11)*C9,4))</f>
        <v>1</v>
      </c>
      <c r="D7" s="3526" t="s">
        <v>861</v>
      </c>
      <c r="E7" s="3527">
        <v>6</v>
      </c>
      <c r="F7" s="3528"/>
      <c r="G7" s="3528"/>
      <c r="H7" s="3528"/>
      <c r="I7" s="3528"/>
      <c r="J7" s="3529"/>
      <c r="K7" s="2976"/>
      <c r="L7" s="1640" t="s">
        <v>1603</v>
      </c>
      <c r="M7" s="1641">
        <f>SUMPRODUCT((区片价!B190:B233=I2)*(区片价!C3:G3=E2)*(区片价!C190:G233))</f>
        <v>1690</v>
      </c>
      <c r="N7" s="1642">
        <f>SUMPRODUCT((因素修正幅度!B190:B233=I2)*(因素修正幅度!C3:G3=E2)*(因素修正幅度!C190:G233))</f>
        <v>0.13</v>
      </c>
      <c r="O7" s="2976"/>
      <c r="P7" s="2979"/>
      <c r="Q7" s="1910"/>
      <c r="R7" s="2415">
        <v>6</v>
      </c>
      <c r="S7" s="2405"/>
      <c r="T7" s="2415">
        <f t="shared" si="0"/>
        <v>0</v>
      </c>
      <c r="U7" s="2405"/>
      <c r="V7" s="2415">
        <f t="shared" si="1"/>
        <v>0</v>
      </c>
      <c r="W7" s="2413" t="s">
        <v>2046</v>
      </c>
      <c r="X7" s="2406" t="str">
        <f>G2</f>
        <v>七级</v>
      </c>
      <c r="Y7" s="2406" t="s">
        <v>2047</v>
      </c>
      <c r="Z7" s="2407">
        <f>G3</f>
        <v>1</v>
      </c>
      <c r="AA7" s="1913"/>
      <c r="AB7" s="1913"/>
      <c r="AC7" s="1914"/>
      <c r="AD7" s="2408"/>
      <c r="AE7" s="2408"/>
      <c r="AF7" s="2408"/>
      <c r="AG7" s="2408"/>
      <c r="AH7" s="2408"/>
      <c r="AI7" s="2408"/>
      <c r="AJ7" s="2409"/>
    </row>
    <row r="8" spans="1:39" ht="15">
      <c r="A8" s="3530"/>
      <c r="B8" s="1268" t="s">
        <v>862</v>
      </c>
      <c r="C8" s="3531"/>
      <c r="D8" s="3532" t="s">
        <v>863</v>
      </c>
      <c r="E8" s="3533">
        <f>ROUND(C11/E7,4)</f>
        <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55" t="s">
        <v>2060</v>
      </c>
      <c r="X8" s="3956"/>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f>ROUND(C11/E7,4)</f>
        <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54"/>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f>ROUND(C11/E7,4)</f>
        <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54"/>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f>ROUND(C11/E7,4)</f>
        <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8" thickBot="1">
      <c r="A12" s="3524" t="s">
        <v>3198</v>
      </c>
      <c r="B12" s="3505" t="s">
        <v>3199</v>
      </c>
      <c r="C12" s="3511">
        <v>1</v>
      </c>
      <c r="D12" s="3506" t="s">
        <v>3200</v>
      </c>
      <c r="E12" s="3507" t="s">
        <v>3201</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24.6" thickBot="1">
      <c r="A13" s="3524" t="s">
        <v>3202</v>
      </c>
      <c r="B13" s="1282" t="s">
        <v>874</v>
      </c>
      <c r="C13" s="3525">
        <f>ROUND(C16*D16*E16*F16*G16*H16*I16*J16,4)</f>
        <v>0</v>
      </c>
      <c r="D13" s="3543" t="s">
        <v>3203</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6" t="s">
        <v>1229</v>
      </c>
      <c r="C14" s="3459" t="s">
        <v>1230</v>
      </c>
      <c r="D14" s="1288" t="s">
        <v>1231</v>
      </c>
      <c r="E14" s="781" t="s">
        <v>3204</v>
      </c>
      <c r="F14" s="3547" t="s">
        <v>1178</v>
      </c>
      <c r="G14" s="3547" t="s">
        <v>1178</v>
      </c>
      <c r="H14" s="3548" t="s">
        <v>1178</v>
      </c>
      <c r="I14" s="3549" t="s">
        <v>1178</v>
      </c>
      <c r="J14" s="3549"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8"/>
      <c r="C15" s="3550"/>
      <c r="D15" s="3551"/>
      <c r="E15" s="3552"/>
      <c r="F15" s="3552"/>
      <c r="G15" s="3514" t="s">
        <v>3205</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3206</v>
      </c>
      <c r="B17" s="3555" t="s">
        <v>3207</v>
      </c>
      <c r="C17" s="3563">
        <f>ROUND(IF(OR(E2="工业",E2="公共服务"),1,IF(AND(E18=0,E19=0),1,IF(AND(E18=J24,E19=G19),0.8,IF(E19=0,1+E17*(-0.2),1+E17*G17*(-0.2))))),4)</f>
        <v>1</v>
      </c>
      <c r="D17" s="3556" t="s">
        <v>3208</v>
      </c>
      <c r="E17" s="3563">
        <f>ROUND(G18/I18,2)</f>
        <v>0</v>
      </c>
      <c r="F17" s="3556" t="s">
        <v>3211</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3209</v>
      </c>
      <c r="E18" s="3562"/>
      <c r="F18" s="3559" t="s">
        <v>3212</v>
      </c>
      <c r="G18" s="3561">
        <f>ROUND(1-(1/(POWER(1+G24,E18))),4)</f>
        <v>0</v>
      </c>
      <c r="H18" s="3559" t="s">
        <v>3214</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3210</v>
      </c>
      <c r="E19" s="3564"/>
      <c r="F19" s="3560" t="s">
        <v>3213</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65" t="s">
        <v>1370</v>
      </c>
      <c r="B20" s="1277" t="s">
        <v>875</v>
      </c>
      <c r="C20" s="998">
        <f>ROUND(IF(F21="与级别开发程度一致",0,(G21-E21)/C21),0)</f>
        <v>0</v>
      </c>
      <c r="D20" s="3960" t="s">
        <v>879</v>
      </c>
      <c r="E20" s="3961"/>
      <c r="F20" s="3960" t="s">
        <v>876</v>
      </c>
      <c r="G20" s="3961"/>
      <c r="H20" s="1290" t="s">
        <v>2769</v>
      </c>
      <c r="I20" s="1290" t="s">
        <v>2770</v>
      </c>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24.6" thickBot="1">
      <c r="A21" s="3966"/>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3398</v>
      </c>
      <c r="G21" s="2598">
        <f>SUM(H21:O21)</f>
        <v>130</v>
      </c>
      <c r="H21" s="997">
        <f>SUMPRODUCT((七通一平=H20)*(修正!B1:M1=G2)*(修正!B8:M16))</f>
        <v>70</v>
      </c>
      <c r="I21" s="997">
        <f>SUMPRODUCT((七通一平=I20)*(修正!B1:M1=G2)*(修正!B8:M16))</f>
        <v>60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1" t="s">
        <v>880</v>
      </c>
      <c r="C22" s="2602">
        <f>SUMIF(修正!C20:C51,E3,修正!E20:E51)</f>
        <v>1.5</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3722">
        <v>1.0818000000000001</v>
      </c>
      <c r="D23" s="1296" t="s">
        <v>882</v>
      </c>
      <c r="E23" s="999">
        <v>44197</v>
      </c>
      <c r="F23" s="1296" t="s">
        <v>883</v>
      </c>
      <c r="G23" s="1000">
        <f>'数据-取费表'!B2</f>
        <v>45597</v>
      </c>
      <c r="H23" s="1297" t="s">
        <v>2247</v>
      </c>
      <c r="I23" s="2265" t="str">
        <f>IF(H23="季度增幅（自定义）",SUMIF(N25:N28,E2,O25:O28),"")</f>
        <v/>
      </c>
      <c r="J23" s="3565" t="s">
        <v>3399</v>
      </c>
      <c r="K23" s="2975"/>
      <c r="L23" s="2510" t="s">
        <v>2116</v>
      </c>
      <c r="M23" s="2511">
        <f>ROUND(SUMIF(地价!B2:F2,E2,地价!B41:F41),0)</f>
        <v>230</v>
      </c>
      <c r="N23" s="2267" t="s">
        <v>1211</v>
      </c>
      <c r="O23" s="2266">
        <f>ROUNDDOWN(DATEDIF(E23,G23,"M")/3,0)</f>
        <v>15</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f>ROUND(POWER(1+G24,J24-I24)*(POWER(1+G24,I24)-1)/(POWER(1+G24,J24)-1),4)</f>
        <v>0.7389</v>
      </c>
      <c r="D24" s="2262" t="s">
        <v>897</v>
      </c>
      <c r="E24" s="2539">
        <f>存贷款利率!E24/100</f>
        <v>4.3499999999999997E-2</v>
      </c>
      <c r="F24" s="2262" t="s">
        <v>898</v>
      </c>
      <c r="G24" s="2263">
        <f>SUMIF(M30:Q30,E2,M33:Q33)</f>
        <v>0.05</v>
      </c>
      <c r="H24" s="2262" t="s">
        <v>899</v>
      </c>
      <c r="I24" s="2258">
        <v>23</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2279</v>
      </c>
      <c r="C25" s="1056">
        <f>IF(B25="容积率修正",IF(G3&lt;10,D26,J26),C27)</f>
        <v>1.0583</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3215</v>
      </c>
      <c r="D26" s="1001">
        <f>IF(E26=G26,F26,IF(G3&lt;10,ROUND(F26+(H26-F26)*(G3-E26)/(G26-E26),4),"——"))</f>
        <v>1.0583</v>
      </c>
      <c r="E26" s="992">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3216</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1.0461</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9">
        <f>IF(B25="容积率修正",E33+SUM(E37:E42),SUM(V2:V16)+SUM(E37:E42))</f>
        <v>17092</v>
      </c>
      <c r="D30" s="1311"/>
      <c r="E30" s="1289"/>
      <c r="F30" s="1312"/>
      <c r="G30" s="1289"/>
      <c r="H30" s="1289"/>
      <c r="I30" s="1289"/>
      <c r="J30" s="1313"/>
      <c r="K30" s="2976"/>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f>E34+SUM(I37:I42)</f>
        <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f>ROUND(C5*C22*C23*C24*C25*C28,0)</f>
        <v>2243</v>
      </c>
      <c r="D33" s="1325">
        <f>'数据-汇总表'!F19</f>
        <v>76200</v>
      </c>
      <c r="E33" s="1634">
        <f>ROUND(C33*D33/10000,0)</f>
        <v>17092</v>
      </c>
      <c r="F33" s="3567" t="s">
        <v>3217</v>
      </c>
      <c r="G33" s="1326"/>
      <c r="H33" s="1326"/>
      <c r="I33" s="1326"/>
      <c r="J33" s="1327"/>
      <c r="K33" s="2983"/>
      <c r="L33" s="3637" t="s">
        <v>3243</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7">
        <f>ROUND(IF(E2="工业",C33*M42,IF(B25="楼层修正",SUM(V2:V16)*M41*10000/D34,C33*M41)),0)</f>
        <v>336</v>
      </c>
      <c r="D34" s="1330"/>
      <c r="E34" s="1634">
        <f>ROUND(IF(B25="楼层修正",SUM(V2:V16)*#REF!,C34*D34/10000),0)</f>
        <v>0</v>
      </c>
      <c r="F34" s="3568" t="s">
        <v>3218</v>
      </c>
      <c r="G34" s="1331"/>
      <c r="H34" s="1331"/>
      <c r="I34" s="1331"/>
      <c r="J34" s="1332"/>
      <c r="K34" s="2976"/>
      <c r="L34" s="3637" t="s">
        <v>3244</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3245</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62"/>
      <c r="B37" s="1343" t="s">
        <v>923</v>
      </c>
      <c r="C37" s="1004">
        <f>ROUND(D5*C22*C23*C24*C28*F37,0)</f>
        <v>1272</v>
      </c>
      <c r="D37" s="1355"/>
      <c r="E37" s="996">
        <f>ROUND(C37*D37/10000,0)</f>
        <v>0</v>
      </c>
      <c r="F37" s="996">
        <f>SUMIF(修正!A57:A68,G2,修正!B57:B68)</f>
        <v>0.6</v>
      </c>
      <c r="G37" s="996">
        <f>ROUND(IF(E2="工业",C37*$M$42,C37*$M$41),0)</f>
        <v>191</v>
      </c>
      <c r="H37" s="996">
        <f>D37</f>
        <v>0</v>
      </c>
      <c r="I37" s="996">
        <f>ROUND(G37*H37/10000,0)</f>
        <v>0</v>
      </c>
      <c r="J37" s="3962"/>
      <c r="K37" s="3640" t="s">
        <v>3246</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1"/>
      <c r="S37" s="1911"/>
      <c r="T37" s="1911"/>
      <c r="U37" s="1911"/>
      <c r="V37" s="1911"/>
      <c r="W37" s="1910"/>
      <c r="X37" s="1910"/>
      <c r="Y37" s="1910"/>
      <c r="Z37" s="1910"/>
      <c r="AA37" s="1910"/>
      <c r="AB37" s="1910"/>
      <c r="AC37" s="1911"/>
    </row>
    <row r="38" spans="1:44" ht="13.2">
      <c r="A38" s="3963"/>
      <c r="B38" s="1287" t="s">
        <v>924</v>
      </c>
      <c r="C38" s="1004">
        <f>ROUND(D5*C22*C23*C24*C28*F38,0)</f>
        <v>636</v>
      </c>
      <c r="D38" s="1355"/>
      <c r="E38" s="996">
        <f t="shared" ref="E38:E42" si="4">ROUND(C38*D38/10000,0)</f>
        <v>0</v>
      </c>
      <c r="F38" s="996">
        <f>SUMIF(修正!A57:A68,G2,修正!C57:C68)</f>
        <v>0.3</v>
      </c>
      <c r="G38" s="996">
        <f>ROUND(IF(E2="工业",C38*$M$42,C38*$M$41),0)</f>
        <v>95</v>
      </c>
      <c r="H38" s="996">
        <f t="shared" ref="H38:H42" si="5">D38</f>
        <v>0</v>
      </c>
      <c r="I38" s="996">
        <f t="shared" ref="I38:I42" si="6">ROUND(G38*H38/10000,0)</f>
        <v>0</v>
      </c>
      <c r="J38" s="3963"/>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63"/>
      <c r="B39" s="3569" t="s">
        <v>3219</v>
      </c>
      <c r="C39" s="1004">
        <f>ROUND(D5*C22*C23*C24*C28*F39,0)</f>
        <v>530</v>
      </c>
      <c r="D39" s="1355"/>
      <c r="E39" s="996">
        <f t="shared" si="4"/>
        <v>0</v>
      </c>
      <c r="F39" s="996">
        <f>SUMIF(修正!A57:A68,G2,修正!D57:D68)</f>
        <v>0.25</v>
      </c>
      <c r="G39" s="996">
        <f>ROUND(IF(E2="工业",C39*$M$42,C39*$M$41),0)</f>
        <v>80</v>
      </c>
      <c r="H39" s="996">
        <f t="shared" si="5"/>
        <v>0</v>
      </c>
      <c r="I39" s="996">
        <f t="shared" si="6"/>
        <v>0</v>
      </c>
      <c r="J39" s="3963"/>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6">
        <f>ROUND(D5*C22*C23*C24*C28*F40,0)</f>
        <v>530</v>
      </c>
      <c r="D40" s="1355"/>
      <c r="E40" s="996">
        <f t="shared" si="4"/>
        <v>0</v>
      </c>
      <c r="F40" s="1004">
        <f>SUMIF(修正!A57:A68,G2,修正!E57:E68)</f>
        <v>0.25</v>
      </c>
      <c r="G40" s="996">
        <f>ROUND(IF(E2="工业",C40*$M$42,C40*$M$41),0)</f>
        <v>80</v>
      </c>
      <c r="H40" s="996">
        <f t="shared" si="5"/>
        <v>0</v>
      </c>
      <c r="I40" s="996">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6">
        <f>ROUND(D5*C22*C23*C44*C28*F41,0)</f>
        <v>530</v>
      </c>
      <c r="D41" s="1355"/>
      <c r="E41" s="996">
        <f t="shared" si="4"/>
        <v>0</v>
      </c>
      <c r="F41" s="1004">
        <f>SUMIF(修正!A57:A68,G2,修正!F57:F68)</f>
        <v>0.25</v>
      </c>
      <c r="G41" s="996">
        <f>ROUND(IF(E2="工业",C41*$M$42,C41*$M$41),0)</f>
        <v>80</v>
      </c>
      <c r="H41" s="996">
        <f t="shared" si="5"/>
        <v>0</v>
      </c>
      <c r="I41" s="996">
        <f t="shared" si="6"/>
        <v>0</v>
      </c>
      <c r="J41" s="1344"/>
      <c r="K41" s="1910"/>
      <c r="L41" s="3643"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7">
        <f>ROUND(D5*C22*C23*C44*C28*F42,0)</f>
        <v>318</v>
      </c>
      <c r="D42" s="1356"/>
      <c r="E42" s="997">
        <f t="shared" si="4"/>
        <v>0</v>
      </c>
      <c r="F42" s="1006">
        <f>SUMIF(修正!A57:A68,G2,修正!G57:G68)</f>
        <v>0.15</v>
      </c>
      <c r="G42" s="997">
        <f>ROUND(IF(E2="工业",C42*$M$42,C42*$M$41),0)</f>
        <v>48</v>
      </c>
      <c r="H42" s="997">
        <f t="shared" si="5"/>
        <v>0</v>
      </c>
      <c r="I42" s="997">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7" t="s">
        <v>2243</v>
      </c>
      <c r="C44" s="804">
        <f>ROUND(POWER(1+E44,H44-G44)*(POWER(1+E44,G44)-1)/(POWER(1+E44,H44)-1),4)</f>
        <v>0.7389</v>
      </c>
      <c r="D44" s="365" t="s">
        <v>2241</v>
      </c>
      <c r="E44" s="2586">
        <f>G24</f>
        <v>0.05</v>
      </c>
      <c r="F44" s="365" t="s">
        <v>2242</v>
      </c>
      <c r="G44" s="383">
        <v>23</v>
      </c>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1.0461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t="s">
        <v>3383</v>
      </c>
      <c r="D83" s="3597">
        <f t="shared" ref="D83:D90" si="22">SUMIF($J$82:$N$82,C83,J83:N83)</f>
        <v>1.6899999999999998E-2</v>
      </c>
      <c r="E83" s="3598">
        <f>ROUND(SUM(D83:D90),4)</f>
        <v>4.6100000000000002E-2</v>
      </c>
      <c r="F83" s="3599">
        <f>IF(E2="工业",SUMIF(L1:L12,G2,N1:N12),"——")</f>
        <v>0.13</v>
      </c>
      <c r="G83" s="3600">
        <f>H83</f>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t="s">
        <v>3383</v>
      </c>
      <c r="D84" s="3597">
        <f t="shared" si="22"/>
        <v>1.95E-2</v>
      </c>
      <c r="E84" s="3603"/>
      <c r="F84" s="3599"/>
      <c r="G84" s="3600">
        <f t="shared" ref="G84:G90" si="27">H84</f>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7" customFormat="1" ht="24">
      <c r="A85" s="3588" t="s">
        <v>944</v>
      </c>
      <c r="B85" s="3589">
        <f>估价对象房地状况!G17</f>
        <v>0</v>
      </c>
      <c r="C85" s="3596" t="s">
        <v>3383</v>
      </c>
      <c r="D85" s="3597">
        <f t="shared" si="22"/>
        <v>6.4999999999999997E-3</v>
      </c>
      <c r="E85" s="3603"/>
      <c r="F85" s="3599"/>
      <c r="G85" s="3600">
        <f t="shared" si="27"/>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7" customFormat="1" ht="13.8">
      <c r="A86" s="3588" t="s">
        <v>956</v>
      </c>
      <c r="B86" s="3589">
        <f>估价对象房地状况!G22</f>
        <v>0</v>
      </c>
      <c r="C86" s="3596" t="s">
        <v>3382</v>
      </c>
      <c r="D86" s="3597">
        <f t="shared" si="22"/>
        <v>0</v>
      </c>
      <c r="E86" s="3603"/>
      <c r="F86" s="3599"/>
      <c r="G86" s="3600">
        <f t="shared" si="27"/>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7" customFormat="1" ht="24">
      <c r="A87" s="3588" t="s">
        <v>948</v>
      </c>
      <c r="B87" s="3607" t="str">
        <f>估价对象房地状况!G19</f>
        <v>估价对象所在区域公共配套设施齐备情况</v>
      </c>
      <c r="C87" s="3596" t="s">
        <v>3382</v>
      </c>
      <c r="D87" s="3597">
        <f t="shared" si="22"/>
        <v>0</v>
      </c>
      <c r="E87" s="3603"/>
      <c r="F87" s="3599"/>
      <c r="G87" s="3600">
        <f t="shared" si="27"/>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7" customFormat="1" ht="24">
      <c r="A88" s="3588" t="s">
        <v>949</v>
      </c>
      <c r="B88" s="3607" t="str">
        <f>估价对象房地状况!G20</f>
        <v>估价对象所在区域基础设施水平</v>
      </c>
      <c r="C88" s="3596" t="s">
        <v>3382</v>
      </c>
      <c r="D88" s="3597">
        <f t="shared" si="22"/>
        <v>0</v>
      </c>
      <c r="E88" s="3603"/>
      <c r="F88" s="3599"/>
      <c r="G88" s="3600">
        <f t="shared" si="27"/>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7" customFormat="1" ht="36">
      <c r="A89" s="3588" t="s">
        <v>947</v>
      </c>
      <c r="B89" s="3605" t="s">
        <v>2199</v>
      </c>
      <c r="C89" s="3596" t="s">
        <v>3382</v>
      </c>
      <c r="D89" s="3597">
        <f t="shared" si="22"/>
        <v>0</v>
      </c>
      <c r="E89" s="3603"/>
      <c r="F89" s="3599"/>
      <c r="G89" s="3600">
        <f t="shared" si="27"/>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t="s">
        <v>3383</v>
      </c>
      <c r="D90" s="3597">
        <f t="shared" si="22"/>
        <v>3.2000000000000002E-3</v>
      </c>
      <c r="E90" s="3610"/>
      <c r="F90" s="3599"/>
      <c r="G90" s="3600">
        <f t="shared" si="27"/>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7" customFormat="1" ht="14.4">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8">$L93+$G93</f>
        <v>0</v>
      </c>
      <c r="L93" s="3626">
        <v>0</v>
      </c>
      <c r="M93" s="3626">
        <f t="shared" ref="M93:N93" si="29">L93-$G93</f>
        <v>0</v>
      </c>
      <c r="N93" s="3626">
        <f t="shared" si="29"/>
        <v>0</v>
      </c>
      <c r="AE93" s="3582"/>
      <c r="AF93" s="3582"/>
      <c r="AG93" s="3582"/>
      <c r="AH93" s="3582"/>
      <c r="AI93" s="3582"/>
      <c r="AJ93" s="3582"/>
    </row>
    <row r="94" spans="1:36" s="1347" customFormat="1" ht="48">
      <c r="A94" s="3572" t="s">
        <v>3233</v>
      </c>
      <c r="B94" s="3589" t="str">
        <f>估价对象房地状况!G16</f>
        <v>估价对象周边道路状况、公共交通通达情况、停车便捷程度，综合评价交通便捷度较好</v>
      </c>
      <c r="C94" s="3596"/>
      <c r="D94" s="3597">
        <f t="shared" ref="D94:D101" si="30">SUMIF($J$92:$N$92,C94,J94:N94)</f>
        <v>0</v>
      </c>
      <c r="E94" s="3621"/>
      <c r="F94" s="3599"/>
      <c r="G94" s="3614"/>
      <c r="H94" s="3601" t="str">
        <f t="shared" ref="H94:H101" si="31">IFERROR(ROUNDDOWN($F$93*I94/2,4),"——")</f>
        <v>——</v>
      </c>
      <c r="I94" s="3575">
        <v>0.26</v>
      </c>
      <c r="J94" s="3626">
        <f>K94+$G94</f>
        <v>0</v>
      </c>
      <c r="K94" s="3626">
        <f t="shared" si="28"/>
        <v>0</v>
      </c>
      <c r="L94" s="3626">
        <v>0</v>
      </c>
      <c r="M94" s="3626">
        <f t="shared" ref="M94:M101" si="32">L94-$G94</f>
        <v>0</v>
      </c>
      <c r="N94" s="3626">
        <f t="shared" ref="N94:N101" si="33">M94-$G94</f>
        <v>0</v>
      </c>
      <c r="AE94" s="3582"/>
      <c r="AF94" s="3582"/>
      <c r="AG94" s="3582"/>
      <c r="AH94" s="3582"/>
      <c r="AI94" s="3582"/>
      <c r="AJ94" s="3582"/>
    </row>
    <row r="95" spans="1:36" s="1347" customFormat="1" ht="48">
      <c r="A95" s="3627" t="s">
        <v>3221</v>
      </c>
      <c r="B95" s="3589">
        <f>估价对象房地状况!G17</f>
        <v>0</v>
      </c>
      <c r="C95" s="3596"/>
      <c r="D95" s="3597">
        <f t="shared" si="30"/>
        <v>0</v>
      </c>
      <c r="E95" s="3621"/>
      <c r="F95" s="3599"/>
      <c r="G95" s="3614"/>
      <c r="H95" s="3601" t="str">
        <f t="shared" si="31"/>
        <v>——</v>
      </c>
      <c r="I95" s="3575">
        <v>0.11</v>
      </c>
      <c r="J95" s="3626">
        <f t="shared" ref="J95:J101" si="34">K95+$G95</f>
        <v>0</v>
      </c>
      <c r="K95" s="3626">
        <f t="shared" si="28"/>
        <v>0</v>
      </c>
      <c r="L95" s="3626">
        <v>0</v>
      </c>
      <c r="M95" s="3626">
        <f t="shared" si="32"/>
        <v>0</v>
      </c>
      <c r="N95" s="3626">
        <f t="shared" si="33"/>
        <v>0</v>
      </c>
      <c r="AE95" s="3582"/>
      <c r="AF95" s="3582"/>
      <c r="AG95" s="3582"/>
      <c r="AH95" s="3582"/>
      <c r="AI95" s="3582"/>
      <c r="AJ95" s="3582"/>
    </row>
    <row r="96" spans="1:36" s="1347" customFormat="1" ht="37.200000000000003">
      <c r="A96" s="3572" t="s">
        <v>3225</v>
      </c>
      <c r="B96" s="3576" t="s">
        <v>3226</v>
      </c>
      <c r="C96" s="3596"/>
      <c r="D96" s="3597">
        <f t="shared" si="30"/>
        <v>0</v>
      </c>
      <c r="E96" s="3621"/>
      <c r="F96" s="3599"/>
      <c r="G96" s="3614"/>
      <c r="H96" s="3601" t="str">
        <f t="shared" si="31"/>
        <v>——</v>
      </c>
      <c r="I96" s="3575">
        <v>0.05</v>
      </c>
      <c r="J96" s="3626">
        <f t="shared" si="34"/>
        <v>0</v>
      </c>
      <c r="K96" s="3626">
        <f t="shared" si="28"/>
        <v>0</v>
      </c>
      <c r="L96" s="3626">
        <v>0</v>
      </c>
      <c r="M96" s="3626">
        <f>L96-$G96</f>
        <v>0</v>
      </c>
      <c r="N96" s="3626">
        <f t="shared" si="33"/>
        <v>0</v>
      </c>
      <c r="AE96" s="3582"/>
      <c r="AF96" s="3582"/>
      <c r="AG96" s="3582"/>
      <c r="AH96" s="3582"/>
      <c r="AI96" s="3582"/>
      <c r="AJ96" s="3582"/>
    </row>
    <row r="97" spans="1:36" s="1347" customFormat="1" ht="24">
      <c r="A97" s="3572" t="s">
        <v>3227</v>
      </c>
      <c r="B97" s="3589">
        <f>估价对象房地状况!G22</f>
        <v>0</v>
      </c>
      <c r="C97" s="3596"/>
      <c r="D97" s="3597">
        <f t="shared" si="30"/>
        <v>0</v>
      </c>
      <c r="E97" s="3621"/>
      <c r="F97" s="3599"/>
      <c r="G97" s="3614"/>
      <c r="H97" s="3601" t="str">
        <f t="shared" si="31"/>
        <v>——</v>
      </c>
      <c r="I97" s="3575">
        <v>0.05</v>
      </c>
      <c r="J97" s="3626">
        <f t="shared" si="34"/>
        <v>0</v>
      </c>
      <c r="K97" s="3626">
        <f t="shared" si="28"/>
        <v>0</v>
      </c>
      <c r="L97" s="3626">
        <v>0</v>
      </c>
      <c r="M97" s="3626">
        <f t="shared" si="32"/>
        <v>0</v>
      </c>
      <c r="N97" s="3626">
        <f t="shared" si="33"/>
        <v>0</v>
      </c>
      <c r="AE97" s="3582"/>
      <c r="AF97" s="3582"/>
      <c r="AG97" s="3582"/>
      <c r="AH97" s="3582"/>
      <c r="AI97" s="3582"/>
      <c r="AJ97" s="3582"/>
    </row>
    <row r="98" spans="1:36" s="1347" customFormat="1" ht="36">
      <c r="A98" s="3572" t="s">
        <v>3234</v>
      </c>
      <c r="B98" s="3604" t="s">
        <v>2199</v>
      </c>
      <c r="C98" s="3596"/>
      <c r="D98" s="3597">
        <f t="shared" si="30"/>
        <v>0</v>
      </c>
      <c r="E98" s="3621"/>
      <c r="F98" s="3599"/>
      <c r="G98" s="3614"/>
      <c r="H98" s="3601" t="str">
        <f t="shared" si="31"/>
        <v>——</v>
      </c>
      <c r="I98" s="3575">
        <v>0.06</v>
      </c>
      <c r="J98" s="3626">
        <f t="shared" si="34"/>
        <v>0</v>
      </c>
      <c r="K98" s="3626">
        <f t="shared" si="28"/>
        <v>0</v>
      </c>
      <c r="L98" s="3626">
        <v>0</v>
      </c>
      <c r="M98" s="3626">
        <f t="shared" si="32"/>
        <v>0</v>
      </c>
      <c r="N98" s="3626">
        <f t="shared" si="33"/>
        <v>0</v>
      </c>
      <c r="AE98" s="3582"/>
      <c r="AF98" s="3582"/>
      <c r="AG98" s="3582"/>
      <c r="AH98" s="3582"/>
      <c r="AI98" s="3582"/>
      <c r="AJ98" s="3582"/>
    </row>
    <row r="99" spans="1:36" s="1347" customFormat="1" ht="24">
      <c r="A99" s="3572" t="s">
        <v>3235</v>
      </c>
      <c r="B99" s="3589" t="str">
        <f>估价对象房地状况!C21</f>
        <v>估价对象所在区域公共配套设施齐备情况</v>
      </c>
      <c r="C99" s="3596"/>
      <c r="D99" s="3597">
        <f t="shared" si="30"/>
        <v>0</v>
      </c>
      <c r="E99" s="3621"/>
      <c r="F99" s="3599"/>
      <c r="G99" s="3614"/>
      <c r="H99" s="3601" t="str">
        <f t="shared" si="31"/>
        <v>——</v>
      </c>
      <c r="I99" s="3575">
        <v>0.06</v>
      </c>
      <c r="J99" s="3626">
        <f t="shared" si="34"/>
        <v>0</v>
      </c>
      <c r="K99" s="3626">
        <f t="shared" si="28"/>
        <v>0</v>
      </c>
      <c r="L99" s="3626">
        <v>0</v>
      </c>
      <c r="M99" s="3626">
        <f t="shared" si="32"/>
        <v>0</v>
      </c>
      <c r="N99" s="3626">
        <f t="shared" si="33"/>
        <v>0</v>
      </c>
      <c r="AE99" s="3582"/>
      <c r="AF99" s="3582"/>
      <c r="AG99" s="3582"/>
      <c r="AH99" s="3582"/>
      <c r="AI99" s="3582"/>
      <c r="AJ99" s="3582"/>
    </row>
    <row r="100" spans="1:36" s="1347" customFormat="1" ht="24">
      <c r="A100" s="3572" t="s">
        <v>3228</v>
      </c>
      <c r="B100" s="3589" t="str">
        <f>估价对象房地状况!C22</f>
        <v>估价对象所在区域基础设施水平</v>
      </c>
      <c r="C100" s="3596"/>
      <c r="D100" s="3597">
        <f t="shared" si="30"/>
        <v>0</v>
      </c>
      <c r="E100" s="3621"/>
      <c r="F100" s="3599"/>
      <c r="G100" s="3614"/>
      <c r="H100" s="3601" t="str">
        <f t="shared" si="31"/>
        <v>——</v>
      </c>
      <c r="I100" s="3575">
        <v>0.09</v>
      </c>
      <c r="J100" s="3626">
        <f t="shared" si="34"/>
        <v>0</v>
      </c>
      <c r="K100" s="3626">
        <f t="shared" si="28"/>
        <v>0</v>
      </c>
      <c r="L100" s="3626">
        <v>0</v>
      </c>
      <c r="M100" s="3626">
        <f t="shared" si="32"/>
        <v>0</v>
      </c>
      <c r="N100" s="3626">
        <f t="shared" si="33"/>
        <v>0</v>
      </c>
      <c r="AE100" s="3582"/>
      <c r="AF100" s="3582"/>
      <c r="AG100" s="3582"/>
      <c r="AH100" s="3582"/>
      <c r="AI100" s="3582"/>
      <c r="AJ100" s="3582"/>
    </row>
    <row r="101" spans="1:36" s="1347" customFormat="1" ht="36.6" thickBot="1">
      <c r="A101" s="3572" t="s">
        <v>3229</v>
      </c>
      <c r="B101" s="3595" t="str">
        <f>估价对象房地状况!C20</f>
        <v>区域自然环境：；人文环境；综合评价环境状况一般</v>
      </c>
      <c r="C101" s="3596" t="s">
        <v>3383</v>
      </c>
      <c r="D101" s="3597">
        <f t="shared" si="30"/>
        <v>0</v>
      </c>
      <c r="E101" s="3621"/>
      <c r="F101" s="3599"/>
      <c r="G101" s="3614"/>
      <c r="H101" s="3601" t="str">
        <f t="shared" si="31"/>
        <v>——</v>
      </c>
      <c r="I101" s="3577">
        <v>7.0000000000000007E-2</v>
      </c>
      <c r="J101" s="3626">
        <f t="shared" si="34"/>
        <v>0</v>
      </c>
      <c r="K101" s="3626">
        <f t="shared" si="28"/>
        <v>0</v>
      </c>
      <c r="L101" s="3626">
        <v>0</v>
      </c>
      <c r="M101" s="3626">
        <f t="shared" si="32"/>
        <v>0</v>
      </c>
      <c r="N101" s="3626">
        <f t="shared" si="33"/>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7" t="s">
        <v>1172</v>
      </c>
      <c r="B104" s="3967"/>
      <c r="C104" s="3967"/>
      <c r="D104" s="3967"/>
      <c r="E104" s="3967"/>
      <c r="F104" s="3967"/>
      <c r="G104" s="3967"/>
      <c r="H104" s="3967"/>
      <c r="I104" s="3967"/>
      <c r="J104" s="3967"/>
      <c r="K104" s="2102"/>
      <c r="L104" s="2102"/>
      <c r="M104" s="2102"/>
      <c r="N104" s="2102"/>
    </row>
    <row r="105" spans="1:36">
      <c r="A105" s="3968" t="s">
        <v>1161</v>
      </c>
      <c r="B105" s="3968" t="s">
        <v>1173</v>
      </c>
      <c r="C105" s="1040" t="s">
        <v>1174</v>
      </c>
      <c r="D105" s="1041"/>
      <c r="E105" s="1041"/>
      <c r="F105" s="1041"/>
      <c r="G105" s="1041"/>
      <c r="H105" s="1041"/>
      <c r="I105" s="1041"/>
      <c r="J105" s="1042"/>
      <c r="K105" s="1034"/>
      <c r="L105" s="1034"/>
      <c r="M105" s="1034"/>
      <c r="N105" s="1034"/>
    </row>
    <row r="106" spans="1:36">
      <c r="A106" s="3968"/>
      <c r="B106" s="3968"/>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7"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58"/>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58"/>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58"/>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58"/>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58"/>
      <c r="B112" s="1043" t="s">
        <v>3237</v>
      </c>
      <c r="C112" s="1045">
        <f>$I$3</f>
        <v>0</v>
      </c>
      <c r="D112" s="1045">
        <f t="shared" ref="D112:N112" si="35">$I$3</f>
        <v>0</v>
      </c>
      <c r="E112" s="1045">
        <f t="shared" si="35"/>
        <v>0</v>
      </c>
      <c r="F112" s="1045">
        <f t="shared" si="35"/>
        <v>0</v>
      </c>
      <c r="G112" s="1045">
        <f t="shared" si="35"/>
        <v>0</v>
      </c>
      <c r="H112" s="1045">
        <f t="shared" si="35"/>
        <v>0</v>
      </c>
      <c r="I112" s="1045">
        <f t="shared" si="35"/>
        <v>0</v>
      </c>
      <c r="J112" s="1045">
        <f t="shared" si="35"/>
        <v>0</v>
      </c>
      <c r="K112" s="1045">
        <f t="shared" si="35"/>
        <v>0</v>
      </c>
      <c r="L112" s="1045">
        <f t="shared" si="35"/>
        <v>0</v>
      </c>
      <c r="M112" s="1045">
        <f t="shared" si="35"/>
        <v>0</v>
      </c>
      <c r="N112" s="1045">
        <f t="shared" si="35"/>
        <v>0</v>
      </c>
    </row>
    <row r="113" spans="1:14">
      <c r="A113" s="3959"/>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64" t="s">
        <v>1175</v>
      </c>
      <c r="B114" s="3964"/>
      <c r="C114" s="3964"/>
      <c r="D114" s="3964"/>
      <c r="E114" s="3964"/>
      <c r="F114" s="3964"/>
      <c r="G114" s="3964"/>
      <c r="H114" s="3964"/>
      <c r="I114" s="3964"/>
      <c r="J114" s="3964"/>
      <c r="K114" s="2100"/>
      <c r="L114" s="2100"/>
      <c r="M114" s="2100"/>
      <c r="N114" s="2100"/>
    </row>
    <row r="116" spans="1:14" ht="12.6" thickBot="1"/>
    <row r="117" spans="1:14" ht="25.8" thickBot="1">
      <c r="A117" s="976" t="s">
        <v>831</v>
      </c>
      <c r="B117" s="2103">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6">I119</f>
        <v>0.8306</v>
      </c>
      <c r="K119" s="3573">
        <f t="shared" si="36"/>
        <v>0.8306</v>
      </c>
      <c r="L119" s="3573">
        <f t="shared" si="36"/>
        <v>0.8306</v>
      </c>
      <c r="M119" s="3634">
        <f t="shared" si="36"/>
        <v>0.8306</v>
      </c>
    </row>
    <row r="120" spans="1:14" ht="13.2">
      <c r="A120" s="3631" t="s">
        <v>3239</v>
      </c>
      <c r="B120" s="3573">
        <f>ROUND(0.993-0.0112*B117,4)</f>
        <v>0.98180000000000001</v>
      </c>
      <c r="C120" s="3573">
        <f>B120</f>
        <v>0.98180000000000001</v>
      </c>
      <c r="D120" s="3573">
        <f>ROUND(0.9415-0.0142*B117,4)</f>
        <v>0.92730000000000001</v>
      </c>
      <c r="E120" s="3573">
        <f t="shared" ref="E120:H121" si="37">D120</f>
        <v>0.92730000000000001</v>
      </c>
      <c r="F120" s="3573">
        <f t="shared" si="37"/>
        <v>0.92730000000000001</v>
      </c>
      <c r="G120" s="3573">
        <f t="shared" si="37"/>
        <v>0.92730000000000001</v>
      </c>
      <c r="H120" s="3573">
        <f t="shared" si="37"/>
        <v>0.92730000000000001</v>
      </c>
      <c r="I120" s="3573">
        <f>ROUND(0.838-0.0182*B117,4)</f>
        <v>0.81979999999999997</v>
      </c>
      <c r="J120" s="3573">
        <f t="shared" si="36"/>
        <v>0.81979999999999997</v>
      </c>
      <c r="K120" s="3573">
        <f t="shared" si="36"/>
        <v>0.81979999999999997</v>
      </c>
      <c r="L120" s="3573">
        <f t="shared" si="36"/>
        <v>0.81979999999999997</v>
      </c>
      <c r="M120" s="3634">
        <f t="shared" si="36"/>
        <v>0.81979999999999997</v>
      </c>
    </row>
    <row r="121" spans="1:14" ht="13.2">
      <c r="A121" s="3631" t="s">
        <v>3240</v>
      </c>
      <c r="B121" s="3573">
        <f>ROUND(0.9448-0.0115*B117,4)</f>
        <v>0.93330000000000002</v>
      </c>
      <c r="C121" s="3573">
        <f>B121</f>
        <v>0.93330000000000002</v>
      </c>
      <c r="D121" s="3573">
        <f>ROUND(0.937-0.0145*B117,4)</f>
        <v>0.92249999999999999</v>
      </c>
      <c r="E121" s="3573">
        <f t="shared" si="37"/>
        <v>0.92249999999999999</v>
      </c>
      <c r="F121" s="3573">
        <f t="shared" si="37"/>
        <v>0.92249999999999999</v>
      </c>
      <c r="G121" s="3573">
        <f t="shared" si="37"/>
        <v>0.92249999999999999</v>
      </c>
      <c r="H121" s="3573">
        <f t="shared" si="37"/>
        <v>0.92249999999999999</v>
      </c>
      <c r="I121" s="3573">
        <f>ROUND(0.7965-0.0185*B117,4)</f>
        <v>0.77800000000000002</v>
      </c>
      <c r="J121" s="3573">
        <f t="shared" si="36"/>
        <v>0.77800000000000002</v>
      </c>
      <c r="K121" s="3573">
        <f t="shared" si="36"/>
        <v>0.77800000000000002</v>
      </c>
      <c r="L121" s="3573">
        <f t="shared" si="36"/>
        <v>0.77800000000000002</v>
      </c>
      <c r="M121" s="3634">
        <f t="shared" si="36"/>
        <v>0.77800000000000002</v>
      </c>
    </row>
    <row r="122" spans="1:14" ht="13.8"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6"/>
        <v>0.57150000000000001</v>
      </c>
      <c r="K122" s="3635">
        <f t="shared" si="36"/>
        <v>0.57150000000000001</v>
      </c>
      <c r="L122" s="3635">
        <f t="shared" si="36"/>
        <v>0.57150000000000001</v>
      </c>
      <c r="M122" s="3636">
        <f t="shared" si="36"/>
        <v>0.57150000000000001</v>
      </c>
    </row>
    <row r="123" spans="1:14" ht="13.2">
      <c r="A123" s="3633" t="s">
        <v>3222</v>
      </c>
      <c r="B123" s="3573">
        <f>ROUND(0.9404-0.0106*B117,4)</f>
        <v>0.92979999999999996</v>
      </c>
      <c r="C123" s="3573">
        <f>B123</f>
        <v>0.92979999999999996</v>
      </c>
      <c r="D123" s="3573">
        <f>ROUND(0.8955-0.0135*B117,4)</f>
        <v>0.88200000000000001</v>
      </c>
      <c r="E123" s="3573">
        <f t="shared" ref="E123:H123" si="38">D123</f>
        <v>0.88200000000000001</v>
      </c>
      <c r="F123" s="3573">
        <f t="shared" si="38"/>
        <v>0.88200000000000001</v>
      </c>
      <c r="G123" s="3573">
        <f t="shared" si="38"/>
        <v>0.88200000000000001</v>
      </c>
      <c r="H123" s="3573">
        <f t="shared" si="38"/>
        <v>0.88200000000000001</v>
      </c>
      <c r="I123" s="3573">
        <f>ROUND(0.7632-0.0166*B117,4)</f>
        <v>0.74660000000000004</v>
      </c>
      <c r="J123" s="3573">
        <f t="shared" si="36"/>
        <v>0.74660000000000004</v>
      </c>
      <c r="K123" s="3573">
        <f t="shared" si="36"/>
        <v>0.74660000000000004</v>
      </c>
      <c r="L123" s="3573">
        <f t="shared" si="36"/>
        <v>0.74660000000000004</v>
      </c>
      <c r="M123" s="3634">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2" t="s">
        <v>2742</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2768</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2740</v>
      </c>
      <c r="B7" s="3246">
        <v>2.5</v>
      </c>
      <c r="C7" s="3246">
        <v>2.5</v>
      </c>
      <c r="D7" s="3246">
        <v>2</v>
      </c>
      <c r="E7" s="3246">
        <v>2</v>
      </c>
      <c r="F7" s="3246">
        <v>2</v>
      </c>
      <c r="G7" s="3246">
        <v>2</v>
      </c>
      <c r="H7" s="3246">
        <v>2</v>
      </c>
      <c r="I7" s="3247">
        <v>1.5</v>
      </c>
      <c r="J7" s="3247">
        <v>1.5</v>
      </c>
      <c r="K7" s="3247">
        <v>1.5</v>
      </c>
      <c r="L7" s="3247">
        <v>1.5</v>
      </c>
      <c r="M7" s="3248">
        <v>1.5</v>
      </c>
    </row>
    <row r="8" spans="1:13">
      <c r="A8" s="1026" t="s">
        <v>2769</v>
      </c>
      <c r="B8" s="3249">
        <v>80</v>
      </c>
      <c r="C8" s="3249">
        <v>80</v>
      </c>
      <c r="D8" s="3249">
        <v>70</v>
      </c>
      <c r="E8" s="3249">
        <v>70</v>
      </c>
      <c r="F8" s="3249">
        <v>70</v>
      </c>
      <c r="G8" s="3249">
        <v>70</v>
      </c>
      <c r="H8" s="3249">
        <v>70</v>
      </c>
      <c r="I8" s="3249">
        <v>60</v>
      </c>
      <c r="J8" s="3249">
        <v>60</v>
      </c>
      <c r="K8" s="3249">
        <v>60</v>
      </c>
      <c r="L8" s="3249">
        <v>60</v>
      </c>
      <c r="M8" s="3250">
        <v>60</v>
      </c>
    </row>
    <row r="9" spans="1:13">
      <c r="A9" s="1008" t="s">
        <v>2770</v>
      </c>
      <c r="B9" s="3251">
        <v>70</v>
      </c>
      <c r="C9" s="3251">
        <v>70</v>
      </c>
      <c r="D9" s="3251">
        <v>60</v>
      </c>
      <c r="E9" s="3251">
        <v>60</v>
      </c>
      <c r="F9" s="3251">
        <v>60</v>
      </c>
      <c r="G9" s="3251">
        <v>60</v>
      </c>
      <c r="H9" s="3251">
        <v>60</v>
      </c>
      <c r="I9" s="3251">
        <v>50</v>
      </c>
      <c r="J9" s="3251">
        <v>50</v>
      </c>
      <c r="K9" s="3251">
        <v>50</v>
      </c>
      <c r="L9" s="3251">
        <v>50</v>
      </c>
      <c r="M9" s="3252">
        <v>50</v>
      </c>
    </row>
    <row r="10" spans="1:13">
      <c r="A10" s="1008" t="s">
        <v>2771</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2772</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2773</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2774</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2775</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2776</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5" thickBot="1">
      <c r="A19" s="3253" t="s">
        <v>2459</v>
      </c>
      <c r="B19" s="3255" t="s">
        <v>2460</v>
      </c>
      <c r="C19" s="3256" t="s">
        <v>2461</v>
      </c>
      <c r="D19" s="3257"/>
      <c r="E19" s="3251" t="s">
        <v>2462</v>
      </c>
      <c r="F19" s="1032"/>
      <c r="G19" s="1032"/>
    </row>
    <row r="20" spans="1:13" s="1407" customFormat="1">
      <c r="A20" s="3969" t="s">
        <v>2453</v>
      </c>
      <c r="B20" s="3972" t="s">
        <v>2463</v>
      </c>
      <c r="C20" s="3258" t="s">
        <v>2464</v>
      </c>
      <c r="D20" s="3259"/>
      <c r="E20" s="3260">
        <v>1</v>
      </c>
      <c r="F20" s="3261" t="s">
        <v>2465</v>
      </c>
      <c r="G20" s="1034"/>
      <c r="H20" s="1024"/>
      <c r="I20" s="1024"/>
    </row>
    <row r="21" spans="1:13" s="1407" customFormat="1">
      <c r="A21" s="3970"/>
      <c r="B21" s="3973"/>
      <c r="C21" s="3262" t="s">
        <v>2466</v>
      </c>
      <c r="D21" s="3263"/>
      <c r="E21" s="3264">
        <v>1</v>
      </c>
      <c r="F21" s="3261" t="s">
        <v>2467</v>
      </c>
      <c r="G21" s="1034"/>
      <c r="H21" s="1024"/>
      <c r="I21" s="1024"/>
    </row>
    <row r="22" spans="1:13" s="1407" customFormat="1">
      <c r="A22" s="3970"/>
      <c r="B22" s="3973"/>
      <c r="C22" s="3262" t="s">
        <v>2468</v>
      </c>
      <c r="D22" s="3263"/>
      <c r="E22" s="3264">
        <v>0.9</v>
      </c>
      <c r="F22" s="3261" t="s">
        <v>2469</v>
      </c>
      <c r="G22" s="1034"/>
      <c r="H22" s="1024"/>
      <c r="I22" s="1024"/>
    </row>
    <row r="23" spans="1:13" s="1407" customFormat="1">
      <c r="A23" s="3970"/>
      <c r="B23" s="3973"/>
      <c r="C23" s="3262" t="s">
        <v>2470</v>
      </c>
      <c r="D23" s="3263"/>
      <c r="E23" s="3264">
        <v>0.9</v>
      </c>
      <c r="F23" s="3261" t="s">
        <v>2471</v>
      </c>
      <c r="G23" s="1034"/>
      <c r="H23" s="1024"/>
      <c r="I23" s="1024"/>
    </row>
    <row r="24" spans="1:13" s="1407" customFormat="1">
      <c r="A24" s="3970"/>
      <c r="B24" s="3973"/>
      <c r="C24" s="3262" t="s">
        <v>2472</v>
      </c>
      <c r="D24" s="3263"/>
      <c r="E24" s="3264">
        <v>0.8</v>
      </c>
      <c r="F24" s="3261" t="s">
        <v>2473</v>
      </c>
      <c r="G24" s="1034"/>
      <c r="H24" s="1024"/>
      <c r="I24" s="1024"/>
    </row>
    <row r="25" spans="1:13" s="1407" customFormat="1" ht="15" thickBot="1">
      <c r="A25" s="3971"/>
      <c r="B25" s="3974"/>
      <c r="C25" s="3265" t="s">
        <v>2474</v>
      </c>
      <c r="D25" s="3266"/>
      <c r="E25" s="3267">
        <v>0.8</v>
      </c>
      <c r="F25" s="3261" t="s">
        <v>2475</v>
      </c>
      <c r="G25" s="1034"/>
      <c r="H25" s="1024"/>
      <c r="I25" s="1024"/>
    </row>
    <row r="26" spans="1:13" s="1407" customFormat="1" ht="15" thickBot="1">
      <c r="A26" s="3268" t="s">
        <v>2454</v>
      </c>
      <c r="B26" s="3269" t="s">
        <v>2463</v>
      </c>
      <c r="C26" s="3270" t="s">
        <v>2476</v>
      </c>
      <c r="D26" s="3271"/>
      <c r="E26" s="3272">
        <v>1</v>
      </c>
      <c r="F26" s="3261" t="s">
        <v>2477</v>
      </c>
      <c r="G26" s="1034"/>
      <c r="H26" s="1024"/>
      <c r="I26" s="1024"/>
    </row>
    <row r="27" spans="1:13" s="1407" customFormat="1">
      <c r="A27" s="3975" t="s">
        <v>2458</v>
      </c>
      <c r="B27" s="3972" t="s">
        <v>2458</v>
      </c>
      <c r="C27" s="3258" t="s">
        <v>2478</v>
      </c>
      <c r="D27" s="3259"/>
      <c r="E27" s="3260">
        <v>1</v>
      </c>
      <c r="F27" s="3261" t="s">
        <v>2479</v>
      </c>
      <c r="G27" s="1034"/>
      <c r="H27" s="1024"/>
      <c r="I27" s="1024"/>
    </row>
    <row r="28" spans="1:13" s="1407" customFormat="1">
      <c r="A28" s="3976"/>
      <c r="B28" s="3973"/>
      <c r="C28" s="3262" t="s">
        <v>2480</v>
      </c>
      <c r="D28" s="3263"/>
      <c r="E28" s="3264">
        <v>1</v>
      </c>
      <c r="F28" s="3261" t="s">
        <v>2481</v>
      </c>
      <c r="G28" s="1034"/>
      <c r="H28" s="1024"/>
      <c r="I28" s="1024"/>
    </row>
    <row r="29" spans="1:13" s="1407" customFormat="1">
      <c r="A29" s="3976"/>
      <c r="B29" s="3973"/>
      <c r="C29" s="3262" t="s">
        <v>2482</v>
      </c>
      <c r="D29" s="3263"/>
      <c r="E29" s="3264">
        <v>0.8</v>
      </c>
      <c r="F29" s="3261" t="s">
        <v>2483</v>
      </c>
      <c r="G29" s="1034"/>
      <c r="H29" s="1024"/>
      <c r="I29" s="1024"/>
    </row>
    <row r="30" spans="1:13" s="1407" customFormat="1">
      <c r="A30" s="3976"/>
      <c r="B30" s="3973"/>
      <c r="C30" s="3262" t="s">
        <v>2484</v>
      </c>
      <c r="D30" s="3263"/>
      <c r="E30" s="3264">
        <v>0.8</v>
      </c>
      <c r="F30" s="3261" t="s">
        <v>2485</v>
      </c>
      <c r="G30" s="1034"/>
      <c r="H30" s="1024"/>
      <c r="I30" s="1024"/>
    </row>
    <row r="31" spans="1:13" s="1407" customFormat="1">
      <c r="A31" s="3976"/>
      <c r="B31" s="3973"/>
      <c r="C31" s="3262" t="s">
        <v>2486</v>
      </c>
      <c r="D31" s="3263"/>
      <c r="E31" s="3264">
        <v>0.8</v>
      </c>
      <c r="F31" s="3261" t="s">
        <v>2487</v>
      </c>
      <c r="G31" s="1034"/>
      <c r="H31" s="1024"/>
      <c r="I31" s="1024"/>
    </row>
    <row r="32" spans="1:13" s="1407" customFormat="1">
      <c r="A32" s="3976"/>
      <c r="B32" s="3973"/>
      <c r="C32" s="3262" t="s">
        <v>2488</v>
      </c>
      <c r="D32" s="3263"/>
      <c r="E32" s="3264">
        <v>0.7</v>
      </c>
      <c r="F32" s="3261" t="s">
        <v>2489</v>
      </c>
      <c r="G32" s="1034"/>
      <c r="H32" s="1024"/>
      <c r="I32" s="1024"/>
    </row>
    <row r="33" spans="1:9" s="1407" customFormat="1">
      <c r="A33" s="3976"/>
      <c r="B33" s="3973"/>
      <c r="C33" s="3262" t="s">
        <v>2490</v>
      </c>
      <c r="D33" s="3263"/>
      <c r="E33" s="3264">
        <v>0.8</v>
      </c>
      <c r="F33" s="3261" t="s">
        <v>2491</v>
      </c>
      <c r="G33" s="1034"/>
      <c r="H33" s="1024"/>
      <c r="I33" s="1024"/>
    </row>
    <row r="34" spans="1:9" s="1407" customFormat="1">
      <c r="A34" s="3976"/>
      <c r="B34" s="3973"/>
      <c r="C34" s="3262" t="s">
        <v>2492</v>
      </c>
      <c r="D34" s="3263"/>
      <c r="E34" s="3264">
        <v>0.6</v>
      </c>
      <c r="F34" s="3261" t="s">
        <v>2493</v>
      </c>
      <c r="G34" s="1034"/>
      <c r="H34" s="1024"/>
      <c r="I34" s="1024"/>
    </row>
    <row r="35" spans="1:9" s="1407" customFormat="1">
      <c r="A35" s="3976"/>
      <c r="B35" s="3973"/>
      <c r="C35" s="3262" t="s">
        <v>2494</v>
      </c>
      <c r="D35" s="3263"/>
      <c r="E35" s="3264">
        <v>0.2</v>
      </c>
      <c r="F35" s="3261" t="s">
        <v>2495</v>
      </c>
      <c r="G35" s="1034"/>
      <c r="H35" s="1024"/>
      <c r="I35" s="1024"/>
    </row>
    <row r="36" spans="1:9" s="1407" customFormat="1">
      <c r="A36" s="3976"/>
      <c r="B36" s="3973"/>
      <c r="C36" s="3262" t="s">
        <v>2496</v>
      </c>
      <c r="D36" s="3263"/>
      <c r="E36" s="3264">
        <v>0.2</v>
      </c>
      <c r="F36" s="3261" t="s">
        <v>2497</v>
      </c>
      <c r="G36" s="1034"/>
      <c r="H36" s="1024"/>
      <c r="I36" s="1024"/>
    </row>
    <row r="37" spans="1:9" s="1407" customFormat="1">
      <c r="A37" s="3976"/>
      <c r="B37" s="3978" t="s">
        <v>2498</v>
      </c>
      <c r="C37" s="3262" t="s">
        <v>2499</v>
      </c>
      <c r="D37" s="3263"/>
      <c r="E37" s="3264">
        <v>0.6</v>
      </c>
      <c r="F37" s="3261" t="s">
        <v>2500</v>
      </c>
      <c r="G37" s="1034"/>
      <c r="H37" s="1024"/>
      <c r="I37" s="1024"/>
    </row>
    <row r="38" spans="1:9" s="1407" customFormat="1">
      <c r="A38" s="3976"/>
      <c r="B38" s="3973"/>
      <c r="C38" s="3262" t="s">
        <v>2501</v>
      </c>
      <c r="D38" s="3263"/>
      <c r="E38" s="3264">
        <v>0.6</v>
      </c>
      <c r="F38" s="3261" t="s">
        <v>2502</v>
      </c>
      <c r="G38" s="1034"/>
      <c r="H38" s="1024"/>
      <c r="I38" s="1024"/>
    </row>
    <row r="39" spans="1:9" s="1407" customFormat="1" ht="15" thickBot="1">
      <c r="A39" s="3977"/>
      <c r="B39" s="3974"/>
      <c r="C39" s="3265" t="s">
        <v>2503</v>
      </c>
      <c r="D39" s="3266"/>
      <c r="E39" s="3267">
        <v>0.6</v>
      </c>
      <c r="F39" s="3261" t="s">
        <v>2504</v>
      </c>
      <c r="G39" s="1034"/>
      <c r="H39" s="1024"/>
      <c r="I39" s="1024"/>
    </row>
    <row r="40" spans="1:9" s="1407" customFormat="1" ht="15" thickBot="1">
      <c r="A40" s="3268" t="s">
        <v>2455</v>
      </c>
      <c r="B40" s="3269" t="s">
        <v>2455</v>
      </c>
      <c r="C40" s="3270" t="s">
        <v>2505</v>
      </c>
      <c r="D40" s="3271"/>
      <c r="E40" s="3272">
        <v>1</v>
      </c>
      <c r="F40" s="3261" t="s">
        <v>2506</v>
      </c>
      <c r="G40" s="1034"/>
      <c r="H40" s="1024"/>
      <c r="I40" s="1024"/>
    </row>
    <row r="41" spans="1:9" s="1407" customFormat="1">
      <c r="A41" s="3969" t="s">
        <v>2456</v>
      </c>
      <c r="B41" s="3972" t="s">
        <v>2507</v>
      </c>
      <c r="C41" s="3258" t="s">
        <v>2508</v>
      </c>
      <c r="D41" s="3259"/>
      <c r="E41" s="3260">
        <v>1</v>
      </c>
      <c r="F41" s="3261" t="s">
        <v>2509</v>
      </c>
      <c r="G41" s="1034"/>
      <c r="H41" s="1024"/>
      <c r="I41" s="1024"/>
    </row>
    <row r="42" spans="1:9" s="1407" customFormat="1">
      <c r="A42" s="3970"/>
      <c r="B42" s="3973"/>
      <c r="C42" s="3262" t="s">
        <v>2510</v>
      </c>
      <c r="D42" s="3263"/>
      <c r="E42" s="3264">
        <v>1</v>
      </c>
      <c r="F42" s="3261" t="s">
        <v>2511</v>
      </c>
      <c r="G42" s="1034"/>
      <c r="H42" s="1024"/>
      <c r="I42" s="1024"/>
    </row>
    <row r="43" spans="1:9" s="1407" customFormat="1">
      <c r="A43" s="3970"/>
      <c r="B43" s="3979"/>
      <c r="C43" s="3262" t="s">
        <v>2512</v>
      </c>
      <c r="D43" s="3263"/>
      <c r="E43" s="3264">
        <v>1.5</v>
      </c>
      <c r="F43" s="3261" t="s">
        <v>2513</v>
      </c>
      <c r="G43" s="1034"/>
      <c r="H43" s="1024"/>
      <c r="I43" s="1024"/>
    </row>
    <row r="44" spans="1:9" s="1407" customFormat="1">
      <c r="A44" s="3970"/>
      <c r="B44" s="3273" t="s">
        <v>2458</v>
      </c>
      <c r="C44" s="3262" t="s">
        <v>2457</v>
      </c>
      <c r="D44" s="3263"/>
      <c r="E44" s="3264">
        <v>2</v>
      </c>
      <c r="F44" s="3261" t="s">
        <v>2514</v>
      </c>
      <c r="G44" s="1034"/>
      <c r="H44" s="1024"/>
      <c r="I44" s="1024"/>
    </row>
    <row r="45" spans="1:9" s="1407" customFormat="1">
      <c r="A45" s="3970"/>
      <c r="B45" s="3978" t="s">
        <v>2515</v>
      </c>
      <c r="C45" s="3262" t="s">
        <v>2516</v>
      </c>
      <c r="D45" s="3263"/>
      <c r="E45" s="3264">
        <v>1</v>
      </c>
      <c r="F45" s="3261" t="s">
        <v>2517</v>
      </c>
      <c r="G45" s="1034"/>
      <c r="H45" s="1024"/>
      <c r="I45" s="1024"/>
    </row>
    <row r="46" spans="1:9" s="1407" customFormat="1">
      <c r="A46" s="3970"/>
      <c r="B46" s="3973"/>
      <c r="C46" s="3262" t="s">
        <v>2518</v>
      </c>
      <c r="D46" s="3263"/>
      <c r="E46" s="3264">
        <v>1</v>
      </c>
      <c r="F46" s="3261" t="s">
        <v>2519</v>
      </c>
      <c r="G46" s="1034"/>
      <c r="H46" s="1024"/>
      <c r="I46" s="1024"/>
    </row>
    <row r="47" spans="1:9" s="1407" customFormat="1">
      <c r="A47" s="3970"/>
      <c r="B47" s="3973"/>
      <c r="C47" s="3262" t="s">
        <v>2520</v>
      </c>
      <c r="D47" s="3263"/>
      <c r="E47" s="3264">
        <v>1</v>
      </c>
      <c r="F47" s="3261" t="s">
        <v>2521</v>
      </c>
      <c r="G47" s="1034"/>
      <c r="H47" s="1024"/>
      <c r="I47" s="1024"/>
    </row>
    <row r="48" spans="1:9" s="1407" customFormat="1">
      <c r="A48" s="3970"/>
      <c r="B48" s="3973"/>
      <c r="C48" s="3262" t="s">
        <v>2522</v>
      </c>
      <c r="D48" s="3263"/>
      <c r="E48" s="3264">
        <v>1</v>
      </c>
      <c r="F48" s="3261" t="s">
        <v>2523</v>
      </c>
      <c r="G48" s="1034"/>
      <c r="H48" s="1024"/>
      <c r="I48" s="1024"/>
    </row>
    <row r="49" spans="1:9" s="1407" customFormat="1">
      <c r="A49" s="3970"/>
      <c r="B49" s="3973"/>
      <c r="C49" s="3262" t="s">
        <v>2524</v>
      </c>
      <c r="D49" s="3263"/>
      <c r="E49" s="3264">
        <v>1</v>
      </c>
      <c r="F49" s="3261" t="s">
        <v>2525</v>
      </c>
      <c r="G49" s="1034"/>
      <c r="H49" s="1024"/>
      <c r="I49" s="1024"/>
    </row>
    <row r="50" spans="1:9" s="1407" customFormat="1">
      <c r="A50" s="3970"/>
      <c r="B50" s="3973"/>
      <c r="C50" s="3262" t="s">
        <v>2526</v>
      </c>
      <c r="D50" s="3263"/>
      <c r="E50" s="3264">
        <v>1</v>
      </c>
      <c r="F50" s="3261" t="s">
        <v>2527</v>
      </c>
      <c r="G50" s="1034"/>
      <c r="H50" s="1024"/>
      <c r="I50" s="1024"/>
    </row>
    <row r="51" spans="1:9" s="1407" customFormat="1" ht="15" thickBot="1">
      <c r="A51" s="3971"/>
      <c r="B51" s="3974"/>
      <c r="C51" s="3265" t="s">
        <v>2528</v>
      </c>
      <c r="D51" s="3266"/>
      <c r="E51" s="3267">
        <v>1</v>
      </c>
      <c r="F51" s="3261"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ht="24">
      <c r="A73" s="3273">
        <v>1</v>
      </c>
      <c r="B73" s="3978" t="s">
        <v>2531</v>
      </c>
      <c r="C73" s="3251" t="s">
        <v>2532</v>
      </c>
      <c r="D73" s="3251" t="s">
        <v>2533</v>
      </c>
      <c r="E73" s="3274">
        <v>0.2</v>
      </c>
      <c r="F73" s="3273">
        <v>25</v>
      </c>
      <c r="H73" s="1024">
        <f>SUMIF(C71:C139,基准地价!C8,E71:E139)</f>
        <v>0</v>
      </c>
    </row>
    <row r="74" spans="1:8" s="1024" customFormat="1" ht="36">
      <c r="A74" s="3273">
        <v>2</v>
      </c>
      <c r="B74" s="3973"/>
      <c r="C74" s="3251" t="s">
        <v>2534</v>
      </c>
      <c r="D74" s="3251" t="s">
        <v>2535</v>
      </c>
      <c r="E74" s="3274">
        <v>0.2</v>
      </c>
      <c r="F74" s="3273">
        <v>25</v>
      </c>
    </row>
    <row r="75" spans="1:8" s="1024" customFormat="1" ht="24">
      <c r="A75" s="3273">
        <v>3</v>
      </c>
      <c r="B75" s="3973"/>
      <c r="C75" s="3251" t="s">
        <v>2536</v>
      </c>
      <c r="D75" s="3251" t="s">
        <v>2537</v>
      </c>
      <c r="E75" s="3274">
        <v>0.2</v>
      </c>
      <c r="F75" s="3273">
        <v>25</v>
      </c>
    </row>
    <row r="76" spans="1:8" s="1024" customFormat="1" ht="24">
      <c r="A76" s="3273">
        <v>4</v>
      </c>
      <c r="B76" s="3973"/>
      <c r="C76" s="3251" t="s">
        <v>2538</v>
      </c>
      <c r="D76" s="3251" t="s">
        <v>2539</v>
      </c>
      <c r="E76" s="3274">
        <v>0.15</v>
      </c>
      <c r="F76" s="3273">
        <v>20</v>
      </c>
    </row>
    <row r="77" spans="1:8" s="1024" customFormat="1" ht="24">
      <c r="A77" s="3273">
        <v>5</v>
      </c>
      <c r="B77" s="3973"/>
      <c r="C77" s="3251" t="s">
        <v>2540</v>
      </c>
      <c r="D77" s="3251" t="s">
        <v>2541</v>
      </c>
      <c r="E77" s="3274">
        <v>0.15</v>
      </c>
      <c r="F77" s="3273">
        <v>20</v>
      </c>
    </row>
    <row r="78" spans="1:8" s="1024" customFormat="1" ht="24">
      <c r="A78" s="3273">
        <v>6</v>
      </c>
      <c r="B78" s="3973"/>
      <c r="C78" s="3251" t="s">
        <v>2542</v>
      </c>
      <c r="D78" s="3251" t="s">
        <v>2543</v>
      </c>
      <c r="E78" s="3274">
        <v>0.15</v>
      </c>
      <c r="F78" s="3273">
        <v>20</v>
      </c>
    </row>
    <row r="79" spans="1:8" s="1024" customFormat="1" ht="36">
      <c r="A79" s="3273">
        <v>7</v>
      </c>
      <c r="B79" s="3973"/>
      <c r="C79" s="3251" t="s">
        <v>2544</v>
      </c>
      <c r="D79" s="3251" t="s">
        <v>2545</v>
      </c>
      <c r="E79" s="3274">
        <v>0.15</v>
      </c>
      <c r="F79" s="3273">
        <v>20</v>
      </c>
    </row>
    <row r="80" spans="1:8" s="1024" customFormat="1" ht="24">
      <c r="A80" s="3273">
        <v>8</v>
      </c>
      <c r="B80" s="3973"/>
      <c r="C80" s="3251" t="s">
        <v>2546</v>
      </c>
      <c r="D80" s="3251" t="s">
        <v>2547</v>
      </c>
      <c r="E80" s="3274">
        <v>0.1</v>
      </c>
      <c r="F80" s="3273">
        <v>15</v>
      </c>
    </row>
    <row r="81" spans="1:6" s="1024" customFormat="1" ht="24">
      <c r="A81" s="3273">
        <v>9</v>
      </c>
      <c r="B81" s="3973"/>
      <c r="C81" s="3251" t="s">
        <v>2548</v>
      </c>
      <c r="D81" s="3251" t="s">
        <v>2549</v>
      </c>
      <c r="E81" s="3274">
        <v>0.1</v>
      </c>
      <c r="F81" s="3273">
        <v>15</v>
      </c>
    </row>
    <row r="82" spans="1:6" s="1024" customFormat="1" ht="24">
      <c r="A82" s="3273">
        <v>10</v>
      </c>
      <c r="B82" s="3973"/>
      <c r="C82" s="3251" t="s">
        <v>2550</v>
      </c>
      <c r="D82" s="3251" t="s">
        <v>2551</v>
      </c>
      <c r="E82" s="3274">
        <v>0.1</v>
      </c>
      <c r="F82" s="3273">
        <v>15</v>
      </c>
    </row>
    <row r="83" spans="1:6" s="1024" customFormat="1" ht="36">
      <c r="A83" s="3273">
        <v>11</v>
      </c>
      <c r="B83" s="3973"/>
      <c r="C83" s="3251" t="s">
        <v>2552</v>
      </c>
      <c r="D83" s="3251" t="s">
        <v>2553</v>
      </c>
      <c r="E83" s="3274">
        <v>0.1</v>
      </c>
      <c r="F83" s="3273">
        <v>15</v>
      </c>
    </row>
    <row r="84" spans="1:6" s="1024" customFormat="1" ht="36">
      <c r="A84" s="3273">
        <v>12</v>
      </c>
      <c r="B84" s="3973"/>
      <c r="C84" s="3251" t="s">
        <v>2554</v>
      </c>
      <c r="D84" s="3251" t="s">
        <v>2555</v>
      </c>
      <c r="E84" s="3274">
        <v>0.1</v>
      </c>
      <c r="F84" s="3273">
        <v>15</v>
      </c>
    </row>
    <row r="85" spans="1:6" s="1024" customFormat="1" ht="24">
      <c r="A85" s="3273">
        <v>13</v>
      </c>
      <c r="B85" s="3973"/>
      <c r="C85" s="3251" t="s">
        <v>2556</v>
      </c>
      <c r="D85" s="3251" t="s">
        <v>2557</v>
      </c>
      <c r="E85" s="3274">
        <v>0.1</v>
      </c>
      <c r="F85" s="3273">
        <v>15</v>
      </c>
    </row>
    <row r="86" spans="1:6" s="1024" customFormat="1" ht="24">
      <c r="A86" s="3273">
        <v>14</v>
      </c>
      <c r="B86" s="3973"/>
      <c r="C86" s="3251" t="s">
        <v>2558</v>
      </c>
      <c r="D86" s="3251" t="s">
        <v>2559</v>
      </c>
      <c r="E86" s="3274">
        <v>0.1</v>
      </c>
      <c r="F86" s="3273">
        <v>15</v>
      </c>
    </row>
    <row r="87" spans="1:6" s="1024" customFormat="1" ht="24">
      <c r="A87" s="3273">
        <v>15</v>
      </c>
      <c r="B87" s="3973"/>
      <c r="C87" s="3251" t="s">
        <v>2560</v>
      </c>
      <c r="D87" s="3251" t="s">
        <v>2561</v>
      </c>
      <c r="E87" s="3274">
        <v>0.1</v>
      </c>
      <c r="F87" s="3273">
        <v>15</v>
      </c>
    </row>
    <row r="88" spans="1:6" s="1024" customFormat="1" ht="24">
      <c r="A88" s="3273">
        <v>16</v>
      </c>
      <c r="B88" s="3973"/>
      <c r="C88" s="3251" t="s">
        <v>2562</v>
      </c>
      <c r="D88" s="3251" t="s">
        <v>2563</v>
      </c>
      <c r="E88" s="3274">
        <v>0.1</v>
      </c>
      <c r="F88" s="3273">
        <v>15</v>
      </c>
    </row>
    <row r="89" spans="1:6" s="1024" customFormat="1" ht="36">
      <c r="A89" s="3273">
        <v>17</v>
      </c>
      <c r="B89" s="3979"/>
      <c r="C89" s="3251" t="s">
        <v>2564</v>
      </c>
      <c r="D89" s="3251" t="s">
        <v>2565</v>
      </c>
      <c r="E89" s="3274">
        <v>0.1</v>
      </c>
      <c r="F89" s="3273">
        <v>15</v>
      </c>
    </row>
    <row r="90" spans="1:6" s="1024" customFormat="1" ht="24">
      <c r="A90" s="3273">
        <v>18</v>
      </c>
      <c r="B90" s="3978" t="s">
        <v>2566</v>
      </c>
      <c r="C90" s="3251" t="s">
        <v>2567</v>
      </c>
      <c r="D90" s="3251" t="s">
        <v>2568</v>
      </c>
      <c r="E90" s="3274">
        <v>0.2</v>
      </c>
      <c r="F90" s="3273">
        <v>25</v>
      </c>
    </row>
    <row r="91" spans="1:6" s="1024" customFormat="1" ht="36">
      <c r="A91" s="3273">
        <v>19</v>
      </c>
      <c r="B91" s="3973"/>
      <c r="C91" s="3251" t="s">
        <v>2569</v>
      </c>
      <c r="D91" s="3251" t="s">
        <v>2570</v>
      </c>
      <c r="E91" s="3274">
        <v>0.2</v>
      </c>
      <c r="F91" s="3273">
        <v>25</v>
      </c>
    </row>
    <row r="92" spans="1:6" s="1024" customFormat="1" ht="24">
      <c r="A92" s="3273">
        <v>20</v>
      </c>
      <c r="B92" s="3973"/>
      <c r="C92" s="3251" t="s">
        <v>2571</v>
      </c>
      <c r="D92" s="3251" t="s">
        <v>2572</v>
      </c>
      <c r="E92" s="3274">
        <v>0.15</v>
      </c>
      <c r="F92" s="3273">
        <v>20</v>
      </c>
    </row>
    <row r="93" spans="1:6" s="1024" customFormat="1" ht="24">
      <c r="A93" s="3273">
        <v>21</v>
      </c>
      <c r="B93" s="3973"/>
      <c r="C93" s="3251" t="s">
        <v>2573</v>
      </c>
      <c r="D93" s="3251" t="s">
        <v>2574</v>
      </c>
      <c r="E93" s="3274">
        <v>0.15</v>
      </c>
      <c r="F93" s="3273">
        <v>20</v>
      </c>
    </row>
    <row r="94" spans="1:6" s="1024" customFormat="1" ht="24">
      <c r="A94" s="3273">
        <v>22</v>
      </c>
      <c r="B94" s="3973"/>
      <c r="C94" s="3251" t="s">
        <v>2575</v>
      </c>
      <c r="D94" s="3251" t="s">
        <v>2576</v>
      </c>
      <c r="E94" s="3274">
        <v>0.15</v>
      </c>
      <c r="F94" s="3273">
        <v>20</v>
      </c>
    </row>
    <row r="95" spans="1:6" s="1024" customFormat="1" ht="48">
      <c r="A95" s="3273">
        <v>23</v>
      </c>
      <c r="B95" s="3973"/>
      <c r="C95" s="3251" t="s">
        <v>2577</v>
      </c>
      <c r="D95" s="3251" t="s">
        <v>2578</v>
      </c>
      <c r="E95" s="3274">
        <v>0.15</v>
      </c>
      <c r="F95" s="3273">
        <v>20</v>
      </c>
    </row>
    <row r="96" spans="1:6" s="1024" customFormat="1" ht="24">
      <c r="A96" s="3273">
        <v>24</v>
      </c>
      <c r="B96" s="3973"/>
      <c r="C96" s="3251" t="s">
        <v>2579</v>
      </c>
      <c r="D96" s="3251" t="s">
        <v>2580</v>
      </c>
      <c r="E96" s="3274">
        <v>0.1</v>
      </c>
      <c r="F96" s="3273">
        <v>15</v>
      </c>
    </row>
    <row r="97" spans="1:6" s="1024" customFormat="1" ht="24">
      <c r="A97" s="3273">
        <v>25</v>
      </c>
      <c r="B97" s="3973"/>
      <c r="C97" s="3251" t="s">
        <v>2581</v>
      </c>
      <c r="D97" s="3251" t="s">
        <v>2582</v>
      </c>
      <c r="E97" s="3274">
        <v>0.1</v>
      </c>
      <c r="F97" s="3273">
        <v>15</v>
      </c>
    </row>
    <row r="98" spans="1:6" s="1024" customFormat="1" ht="36">
      <c r="A98" s="3273">
        <v>26</v>
      </c>
      <c r="B98" s="3973"/>
      <c r="C98" s="3251" t="s">
        <v>2583</v>
      </c>
      <c r="D98" s="3251" t="s">
        <v>2584</v>
      </c>
      <c r="E98" s="3274">
        <v>0.1</v>
      </c>
      <c r="F98" s="3273">
        <v>15</v>
      </c>
    </row>
    <row r="99" spans="1:6" s="1024" customFormat="1" ht="24">
      <c r="A99" s="3273">
        <v>27</v>
      </c>
      <c r="B99" s="3973"/>
      <c r="C99" s="3251" t="s">
        <v>2585</v>
      </c>
      <c r="D99" s="3251" t="s">
        <v>2586</v>
      </c>
      <c r="E99" s="3274">
        <v>0.1</v>
      </c>
      <c r="F99" s="3273">
        <v>15</v>
      </c>
    </row>
    <row r="100" spans="1:6" s="1024" customFormat="1" ht="24">
      <c r="A100" s="3273">
        <v>28</v>
      </c>
      <c r="B100" s="3973"/>
      <c r="C100" s="3251" t="s">
        <v>2587</v>
      </c>
      <c r="D100" s="3251" t="s">
        <v>2588</v>
      </c>
      <c r="E100" s="3274">
        <v>0.1</v>
      </c>
      <c r="F100" s="3273">
        <v>15</v>
      </c>
    </row>
    <row r="101" spans="1:6" s="1024" customFormat="1" ht="24">
      <c r="A101" s="3273">
        <v>29</v>
      </c>
      <c r="B101" s="3973"/>
      <c r="C101" s="3251" t="s">
        <v>2589</v>
      </c>
      <c r="D101" s="3251" t="s">
        <v>2590</v>
      </c>
      <c r="E101" s="3274">
        <v>0.1</v>
      </c>
      <c r="F101" s="3273">
        <v>15</v>
      </c>
    </row>
    <row r="102" spans="1:6" s="1024" customFormat="1" ht="24">
      <c r="A102" s="3273">
        <v>30</v>
      </c>
      <c r="B102" s="3973"/>
      <c r="C102" s="3251" t="s">
        <v>2591</v>
      </c>
      <c r="D102" s="3251" t="s">
        <v>2592</v>
      </c>
      <c r="E102" s="3274">
        <v>0.1</v>
      </c>
      <c r="F102" s="3273">
        <v>15</v>
      </c>
    </row>
    <row r="103" spans="1:6" s="1024" customFormat="1" ht="24">
      <c r="A103" s="3273">
        <v>31</v>
      </c>
      <c r="B103" s="3973"/>
      <c r="C103" s="3251" t="s">
        <v>2593</v>
      </c>
      <c r="D103" s="3251" t="s">
        <v>2594</v>
      </c>
      <c r="E103" s="3274">
        <v>0.1</v>
      </c>
      <c r="F103" s="3273">
        <v>15</v>
      </c>
    </row>
    <row r="104" spans="1:6" s="1024" customFormat="1" ht="36">
      <c r="A104" s="3273">
        <v>32</v>
      </c>
      <c r="B104" s="3973"/>
      <c r="C104" s="3251" t="s">
        <v>2595</v>
      </c>
      <c r="D104" s="3251" t="s">
        <v>2596</v>
      </c>
      <c r="E104" s="3274">
        <v>0.1</v>
      </c>
      <c r="F104" s="3273">
        <v>15</v>
      </c>
    </row>
    <row r="105" spans="1:6" s="1024" customFormat="1" ht="36">
      <c r="A105" s="3273">
        <v>33</v>
      </c>
      <c r="B105" s="3973"/>
      <c r="C105" s="3251" t="s">
        <v>2597</v>
      </c>
      <c r="D105" s="3251" t="s">
        <v>2598</v>
      </c>
      <c r="E105" s="3274">
        <v>0.1</v>
      </c>
      <c r="F105" s="3273">
        <v>15</v>
      </c>
    </row>
    <row r="106" spans="1:6" s="1024" customFormat="1" ht="24">
      <c r="A106" s="3273">
        <v>34</v>
      </c>
      <c r="B106" s="3979"/>
      <c r="C106" s="3251" t="s">
        <v>2599</v>
      </c>
      <c r="D106" s="3251" t="s">
        <v>2600</v>
      </c>
      <c r="E106" s="3274">
        <v>0.1</v>
      </c>
      <c r="F106" s="3273">
        <v>15</v>
      </c>
    </row>
    <row r="107" spans="1:6" s="1024" customFormat="1" ht="36">
      <c r="A107" s="3273">
        <v>35</v>
      </c>
      <c r="B107" s="3978" t="s">
        <v>2601</v>
      </c>
      <c r="C107" s="3273" t="s">
        <v>2602</v>
      </c>
      <c r="D107" s="3251" t="s">
        <v>2603</v>
      </c>
      <c r="E107" s="3274">
        <v>0.15</v>
      </c>
      <c r="F107" s="3273">
        <v>20</v>
      </c>
    </row>
    <row r="108" spans="1:6" s="1024" customFormat="1" ht="24">
      <c r="A108" s="3273">
        <v>36</v>
      </c>
      <c r="B108" s="3973"/>
      <c r="C108" s="3273" t="s">
        <v>2604</v>
      </c>
      <c r="D108" s="3251" t="s">
        <v>2605</v>
      </c>
      <c r="E108" s="3274">
        <v>0.15</v>
      </c>
      <c r="F108" s="3273">
        <v>20</v>
      </c>
    </row>
    <row r="109" spans="1:6" s="1024" customFormat="1" ht="24">
      <c r="A109" s="3273">
        <v>37</v>
      </c>
      <c r="B109" s="3973"/>
      <c r="C109" s="3273" t="s">
        <v>2606</v>
      </c>
      <c r="D109" s="3251" t="s">
        <v>2607</v>
      </c>
      <c r="E109" s="3274">
        <v>0.15</v>
      </c>
      <c r="F109" s="3273">
        <v>20</v>
      </c>
    </row>
    <row r="110" spans="1:6" s="1024" customFormat="1" ht="24">
      <c r="A110" s="3273">
        <v>38</v>
      </c>
      <c r="B110" s="3973"/>
      <c r="C110" s="3273" t="s">
        <v>2608</v>
      </c>
      <c r="D110" s="3251" t="s">
        <v>2609</v>
      </c>
      <c r="E110" s="3274">
        <v>0.1</v>
      </c>
      <c r="F110" s="3273">
        <v>15</v>
      </c>
    </row>
    <row r="111" spans="1:6" s="1024" customFormat="1" ht="24">
      <c r="A111" s="3273">
        <v>39</v>
      </c>
      <c r="B111" s="3973"/>
      <c r="C111" s="3273" t="s">
        <v>2610</v>
      </c>
      <c r="D111" s="3251" t="s">
        <v>2611</v>
      </c>
      <c r="E111" s="3274">
        <v>0.1</v>
      </c>
      <c r="F111" s="3273">
        <v>15</v>
      </c>
    </row>
    <row r="112" spans="1:6" s="1024" customFormat="1" ht="24">
      <c r="A112" s="3273">
        <v>40</v>
      </c>
      <c r="B112" s="3979"/>
      <c r="C112" s="3273" t="s">
        <v>2612</v>
      </c>
      <c r="D112" s="3251" t="s">
        <v>2613</v>
      </c>
      <c r="E112" s="3274">
        <v>0.1</v>
      </c>
      <c r="F112" s="3273">
        <v>15</v>
      </c>
    </row>
    <row r="113" spans="1:6" s="1024" customFormat="1" ht="24">
      <c r="A113" s="3273">
        <v>41</v>
      </c>
      <c r="B113" s="3980" t="s">
        <v>2614</v>
      </c>
      <c r="C113" s="3273" t="s">
        <v>2615</v>
      </c>
      <c r="D113" s="3251" t="s">
        <v>2616</v>
      </c>
      <c r="E113" s="3274">
        <v>0.1</v>
      </c>
      <c r="F113" s="3273">
        <v>15</v>
      </c>
    </row>
    <row r="114" spans="1:6" s="1024" customFormat="1" ht="24">
      <c r="A114" s="3273">
        <v>42</v>
      </c>
      <c r="B114" s="3980"/>
      <c r="C114" s="3273" t="s">
        <v>2617</v>
      </c>
      <c r="D114" s="3251" t="s">
        <v>2618</v>
      </c>
      <c r="E114" s="3274">
        <v>0.1</v>
      </c>
      <c r="F114" s="3273">
        <v>15</v>
      </c>
    </row>
    <row r="115" spans="1:6" s="1024" customFormat="1" ht="24">
      <c r="A115" s="3273">
        <v>43</v>
      </c>
      <c r="B115" s="3980"/>
      <c r="C115" s="3273" t="s">
        <v>2619</v>
      </c>
      <c r="D115" s="3251" t="s">
        <v>2620</v>
      </c>
      <c r="E115" s="3274">
        <v>0.1</v>
      </c>
      <c r="F115" s="3273">
        <v>15</v>
      </c>
    </row>
    <row r="116" spans="1:6" s="1024" customFormat="1" ht="24">
      <c r="A116" s="3273">
        <v>44</v>
      </c>
      <c r="B116" s="3978" t="s">
        <v>2621</v>
      </c>
      <c r="C116" s="3273" t="s">
        <v>2622</v>
      </c>
      <c r="D116" s="3251" t="s">
        <v>2623</v>
      </c>
      <c r="E116" s="3274">
        <v>0.1</v>
      </c>
      <c r="F116" s="3273">
        <v>15</v>
      </c>
    </row>
    <row r="117" spans="1:6" s="1024" customFormat="1" ht="24">
      <c r="A117" s="3273">
        <v>45</v>
      </c>
      <c r="B117" s="3979"/>
      <c r="C117" s="3251" t="s">
        <v>2624</v>
      </c>
      <c r="D117" s="3251" t="s">
        <v>2625</v>
      </c>
      <c r="E117" s="3274">
        <v>0.1</v>
      </c>
      <c r="F117" s="3273">
        <v>15</v>
      </c>
    </row>
    <row r="118" spans="1:6" s="1024" customFormat="1" ht="24">
      <c r="A118" s="3273">
        <v>46</v>
      </c>
      <c r="B118" s="3978" t="s">
        <v>2626</v>
      </c>
      <c r="C118" s="3273" t="s">
        <v>2627</v>
      </c>
      <c r="D118" s="3251" t="s">
        <v>2628</v>
      </c>
      <c r="E118" s="3274">
        <v>0.1</v>
      </c>
      <c r="F118" s="3273">
        <v>15</v>
      </c>
    </row>
    <row r="119" spans="1:6" s="1024" customFormat="1" ht="24">
      <c r="A119" s="3273">
        <v>47</v>
      </c>
      <c r="B119" s="3979"/>
      <c r="C119" s="3273" t="s">
        <v>2629</v>
      </c>
      <c r="D119" s="3251" t="s">
        <v>2630</v>
      </c>
      <c r="E119" s="3274">
        <v>0.1</v>
      </c>
      <c r="F119" s="3273">
        <v>15</v>
      </c>
    </row>
    <row r="120" spans="1:6" s="1024" customFormat="1" ht="24">
      <c r="A120" s="3273">
        <v>48</v>
      </c>
      <c r="B120" s="3978" t="s">
        <v>2631</v>
      </c>
      <c r="C120" s="3273" t="s">
        <v>2632</v>
      </c>
      <c r="D120" s="3251" t="s">
        <v>2633</v>
      </c>
      <c r="E120" s="3274">
        <v>0.1</v>
      </c>
      <c r="F120" s="3273">
        <v>15</v>
      </c>
    </row>
    <row r="121" spans="1:6" s="1024" customFormat="1" ht="24">
      <c r="A121" s="3273">
        <v>49</v>
      </c>
      <c r="B121" s="3979"/>
      <c r="C121" s="3273" t="s">
        <v>2634</v>
      </c>
      <c r="D121" s="3251" t="s">
        <v>2635</v>
      </c>
      <c r="E121" s="3274">
        <v>0.1</v>
      </c>
      <c r="F121" s="3273">
        <v>15</v>
      </c>
    </row>
    <row r="122" spans="1:6" s="1024" customFormat="1" ht="24">
      <c r="A122" s="3273">
        <v>50</v>
      </c>
      <c r="B122" s="3980" t="s">
        <v>2636</v>
      </c>
      <c r="C122" s="3273" t="s">
        <v>2637</v>
      </c>
      <c r="D122" s="3251" t="s">
        <v>2638</v>
      </c>
      <c r="E122" s="3274">
        <v>0.1</v>
      </c>
      <c r="F122" s="3273">
        <v>15</v>
      </c>
    </row>
    <row r="123" spans="1:6" s="1024" customFormat="1" ht="24">
      <c r="A123" s="3273">
        <v>51</v>
      </c>
      <c r="B123" s="3980"/>
      <c r="C123" s="3273" t="s">
        <v>2639</v>
      </c>
      <c r="D123" s="3251" t="s">
        <v>2640</v>
      </c>
      <c r="E123" s="3274">
        <v>0.1</v>
      </c>
      <c r="F123" s="3273">
        <v>15</v>
      </c>
    </row>
    <row r="124" spans="1:6" s="1024" customFormat="1" ht="24">
      <c r="A124" s="3273">
        <v>52</v>
      </c>
      <c r="B124" s="3980" t="s">
        <v>2641</v>
      </c>
      <c r="C124" s="3273" t="s">
        <v>2642</v>
      </c>
      <c r="D124" s="3251" t="s">
        <v>2643</v>
      </c>
      <c r="E124" s="3274">
        <v>0.1</v>
      </c>
      <c r="F124" s="3273">
        <v>15</v>
      </c>
    </row>
    <row r="125" spans="1:6" s="1024" customFormat="1" ht="24">
      <c r="A125" s="3273">
        <v>53</v>
      </c>
      <c r="B125" s="3980"/>
      <c r="C125" s="3273" t="s">
        <v>2644</v>
      </c>
      <c r="D125" s="3251" t="s">
        <v>2645</v>
      </c>
      <c r="E125" s="3274">
        <v>0.1</v>
      </c>
      <c r="F125" s="3273">
        <v>15</v>
      </c>
    </row>
    <row r="126" spans="1:6" ht="24">
      <c r="A126" s="3273">
        <v>54</v>
      </c>
      <c r="B126" s="3273" t="s">
        <v>2646</v>
      </c>
      <c r="C126" s="3273" t="s">
        <v>2647</v>
      </c>
      <c r="D126" s="3251" t="s">
        <v>2648</v>
      </c>
      <c r="E126" s="3274">
        <v>0.1</v>
      </c>
      <c r="F126" s="3273">
        <v>15</v>
      </c>
    </row>
    <row r="127" spans="1:6" ht="24">
      <c r="A127" s="3273">
        <v>55</v>
      </c>
      <c r="B127" s="3980" t="s">
        <v>2649</v>
      </c>
      <c r="C127" s="3273" t="s">
        <v>2650</v>
      </c>
      <c r="D127" s="3251" t="s">
        <v>2651</v>
      </c>
      <c r="E127" s="3274">
        <v>0.1</v>
      </c>
      <c r="F127" s="3273">
        <v>15</v>
      </c>
    </row>
    <row r="128" spans="1:6" ht="24">
      <c r="A128" s="3273">
        <v>56</v>
      </c>
      <c r="B128" s="3980"/>
      <c r="C128" s="3273" t="s">
        <v>2652</v>
      </c>
      <c r="D128" s="3251" t="s">
        <v>2653</v>
      </c>
      <c r="E128" s="3274">
        <v>0.1</v>
      </c>
      <c r="F128" s="3273">
        <v>15</v>
      </c>
    </row>
    <row r="129" spans="1:14" ht="24">
      <c r="A129" s="3273">
        <v>57</v>
      </c>
      <c r="B129" s="3980"/>
      <c r="C129" s="3273" t="s">
        <v>2654</v>
      </c>
      <c r="D129" s="3251" t="s">
        <v>2655</v>
      </c>
      <c r="E129" s="3274">
        <v>0.1</v>
      </c>
      <c r="F129" s="3273">
        <v>15</v>
      </c>
    </row>
    <row r="130" spans="1:14" ht="24">
      <c r="A130" s="3273">
        <v>58</v>
      </c>
      <c r="B130" s="3980" t="s">
        <v>2656</v>
      </c>
      <c r="C130" s="3273" t="s">
        <v>2657</v>
      </c>
      <c r="D130" s="3251" t="s">
        <v>2658</v>
      </c>
      <c r="E130" s="3274">
        <v>0.1</v>
      </c>
      <c r="F130" s="3273">
        <v>15</v>
      </c>
    </row>
    <row r="131" spans="1:14" ht="24">
      <c r="A131" s="3273">
        <v>59</v>
      </c>
      <c r="B131" s="3980"/>
      <c r="C131" s="3273" t="s">
        <v>2659</v>
      </c>
      <c r="D131" s="3251" t="s">
        <v>2660</v>
      </c>
      <c r="E131" s="3274">
        <v>0.1</v>
      </c>
      <c r="F131" s="3273">
        <v>15</v>
      </c>
    </row>
    <row r="132" spans="1:14" ht="24">
      <c r="A132" s="3273">
        <v>60</v>
      </c>
      <c r="B132" s="3978" t="s">
        <v>2661</v>
      </c>
      <c r="C132" s="3273" t="s">
        <v>2662</v>
      </c>
      <c r="D132" s="3251" t="s">
        <v>2663</v>
      </c>
      <c r="E132" s="3274">
        <v>0.1</v>
      </c>
      <c r="F132" s="3273">
        <v>15</v>
      </c>
    </row>
    <row r="133" spans="1:14" ht="24">
      <c r="A133" s="3273">
        <v>61</v>
      </c>
      <c r="B133" s="3979"/>
      <c r="C133" s="3273" t="s">
        <v>2664</v>
      </c>
      <c r="D133" s="3251" t="s">
        <v>2665</v>
      </c>
      <c r="E133" s="3274">
        <v>0.1</v>
      </c>
      <c r="F133" s="3273">
        <v>15</v>
      </c>
    </row>
    <row r="134" spans="1:14" ht="24">
      <c r="A134" s="3273">
        <v>62</v>
      </c>
      <c r="B134" s="3273" t="s">
        <v>2666</v>
      </c>
      <c r="C134" s="3273" t="s">
        <v>2667</v>
      </c>
      <c r="D134" s="3251" t="s">
        <v>2668</v>
      </c>
      <c r="E134" s="3274">
        <v>0.1</v>
      </c>
      <c r="F134" s="3273">
        <v>15</v>
      </c>
    </row>
    <row r="135" spans="1:14" ht="24">
      <c r="A135" s="3273">
        <v>63</v>
      </c>
      <c r="B135" s="3980" t="s">
        <v>2669</v>
      </c>
      <c r="C135" s="3273" t="s">
        <v>2670</v>
      </c>
      <c r="D135" s="3251" t="s">
        <v>2671</v>
      </c>
      <c r="E135" s="3274">
        <v>0.1</v>
      </c>
      <c r="F135" s="3273">
        <v>15</v>
      </c>
    </row>
    <row r="136" spans="1:14" ht="24">
      <c r="A136" s="3273">
        <v>64</v>
      </c>
      <c r="B136" s="3980"/>
      <c r="C136" s="3273" t="s">
        <v>2672</v>
      </c>
      <c r="D136" s="3251" t="s">
        <v>2673</v>
      </c>
      <c r="E136" s="3274">
        <v>0.1</v>
      </c>
      <c r="F136" s="3273">
        <v>15</v>
      </c>
    </row>
    <row r="137" spans="1:14" ht="24">
      <c r="A137" s="3273">
        <v>65</v>
      </c>
      <c r="B137" s="3273" t="s">
        <v>2674</v>
      </c>
      <c r="C137" s="3273" t="s">
        <v>2675</v>
      </c>
      <c r="D137" s="3251" t="s">
        <v>2676</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81" t="s">
        <v>2817</v>
      </c>
      <c r="B1" s="3981"/>
      <c r="C1" s="3981"/>
      <c r="D1" s="3981"/>
      <c r="E1" s="3981"/>
      <c r="F1" s="3981"/>
      <c r="G1" s="3982"/>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2818</v>
      </c>
      <c r="B2" s="3418"/>
      <c r="C2" s="3418"/>
      <c r="D2" s="3418"/>
      <c r="E2" s="3418"/>
      <c r="F2" s="3418"/>
      <c r="G2" s="3413" t="s">
        <v>2819</v>
      </c>
      <c r="J2" s="3442" t="s">
        <v>2825</v>
      </c>
      <c r="K2" s="3422" t="s">
        <v>2827</v>
      </c>
      <c r="L2" s="3422" t="s">
        <v>2829</v>
      </c>
      <c r="M2" s="3422" t="s">
        <v>2835</v>
      </c>
      <c r="N2" s="3422" t="s">
        <v>2845</v>
      </c>
      <c r="O2" s="3422" t="s">
        <v>2860</v>
      </c>
      <c r="P2" s="3422" t="s">
        <v>2897</v>
      </c>
      <c r="Q2" s="3422" t="s">
        <v>2928</v>
      </c>
      <c r="R2" s="3422" t="s">
        <v>2956</v>
      </c>
      <c r="S2" s="3422" t="s">
        <v>2991</v>
      </c>
      <c r="T2" s="3422" t="s">
        <v>3011</v>
      </c>
      <c r="U2" s="3422" t="s">
        <v>3023</v>
      </c>
    </row>
    <row r="3" spans="1:21" s="1011" customFormat="1" ht="19.5" customHeight="1">
      <c r="A3" s="3983" t="s">
        <v>2820</v>
      </c>
      <c r="B3" s="3414"/>
      <c r="C3" s="3415" t="s">
        <v>2797</v>
      </c>
      <c r="D3" s="3415" t="s">
        <v>2821</v>
      </c>
      <c r="E3" s="3415" t="s">
        <v>2799</v>
      </c>
      <c r="F3" s="3415" t="s">
        <v>2822</v>
      </c>
      <c r="G3" s="3415" t="s">
        <v>2741</v>
      </c>
      <c r="H3" s="1014"/>
      <c r="J3" s="3442" t="s">
        <v>2826</v>
      </c>
      <c r="K3" s="3422" t="s">
        <v>973</v>
      </c>
      <c r="L3" s="3422" t="s">
        <v>974</v>
      </c>
      <c r="M3" s="3422" t="s">
        <v>975</v>
      </c>
      <c r="N3" s="3422" t="s">
        <v>976</v>
      </c>
      <c r="O3" s="3422" t="s">
        <v>977</v>
      </c>
      <c r="P3" s="3422" t="s">
        <v>978</v>
      </c>
      <c r="Q3" s="3422" t="s">
        <v>979</v>
      </c>
      <c r="R3" s="3422" t="s">
        <v>980</v>
      </c>
      <c r="S3" s="3422" t="s">
        <v>981</v>
      </c>
      <c r="T3" s="3422" t="s">
        <v>3012</v>
      </c>
      <c r="U3" s="3422" t="s">
        <v>3024</v>
      </c>
    </row>
    <row r="4" spans="1:21" s="1011" customFormat="1" ht="19.5" customHeight="1" thickBot="1">
      <c r="A4" s="3984"/>
      <c r="B4" s="3416" t="s">
        <v>2823</v>
      </c>
      <c r="C4" s="3416" t="s">
        <v>2824</v>
      </c>
      <c r="D4" s="3416" t="s">
        <v>2824</v>
      </c>
      <c r="E4" s="3416" t="s">
        <v>2824</v>
      </c>
      <c r="F4" s="3417" t="s">
        <v>2824</v>
      </c>
      <c r="G4" s="3417" t="s">
        <v>2824</v>
      </c>
      <c r="H4" s="1014"/>
      <c r="J4" s="3442" t="s">
        <v>982</v>
      </c>
      <c r="K4" s="3422" t="s">
        <v>983</v>
      </c>
      <c r="L4" s="3422" t="s">
        <v>984</v>
      </c>
      <c r="M4" s="3422" t="s">
        <v>985</v>
      </c>
      <c r="N4" s="3422" t="s">
        <v>986</v>
      </c>
      <c r="O4" s="3422" t="s">
        <v>987</v>
      </c>
      <c r="P4" s="3422" t="s">
        <v>988</v>
      </c>
      <c r="Q4" s="3422" t="s">
        <v>989</v>
      </c>
      <c r="R4" s="3422" t="s">
        <v>2957</v>
      </c>
      <c r="S4" s="3422" t="s">
        <v>2992</v>
      </c>
      <c r="T4" s="3422" t="s">
        <v>3013</v>
      </c>
      <c r="U4" s="3422" t="s">
        <v>3025</v>
      </c>
    </row>
    <row r="5" spans="1:21" ht="14.25" customHeight="1">
      <c r="A5" s="3419" t="s">
        <v>990</v>
      </c>
      <c r="B5" s="3420" t="s">
        <v>2825</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2958</v>
      </c>
      <c r="S5" s="3422" t="s">
        <v>2993</v>
      </c>
      <c r="T5" s="3422" t="s">
        <v>999</v>
      </c>
      <c r="U5" s="3422" t="s">
        <v>3026</v>
      </c>
    </row>
    <row r="6" spans="1:21" ht="14.25" customHeight="1">
      <c r="A6" s="3422" t="s">
        <v>990</v>
      </c>
      <c r="B6" s="3422" t="s">
        <v>2826</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2929</v>
      </c>
      <c r="R6" s="3422" t="s">
        <v>2959</v>
      </c>
      <c r="S6" s="3422" t="s">
        <v>1008</v>
      </c>
      <c r="T6" s="3422" t="s">
        <v>3014</v>
      </c>
      <c r="U6" s="3422" t="s">
        <v>3027</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2930</v>
      </c>
      <c r="R7" s="3422" t="s">
        <v>2960</v>
      </c>
      <c r="S7" s="3422" t="s">
        <v>2994</v>
      </c>
      <c r="T7" s="3422" t="s">
        <v>3015</v>
      </c>
      <c r="U7" s="1288" t="s">
        <v>3028</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2931</v>
      </c>
      <c r="R8" s="3422" t="s">
        <v>1021</v>
      </c>
      <c r="S8" s="3422" t="s">
        <v>2995</v>
      </c>
      <c r="T8" s="3422" t="s">
        <v>3016</v>
      </c>
      <c r="U8" s="3422" t="s">
        <v>3029</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2932</v>
      </c>
      <c r="R9" s="3422" t="s">
        <v>1029</v>
      </c>
      <c r="S9" s="3422" t="s">
        <v>1030</v>
      </c>
      <c r="T9" s="3422" t="s">
        <v>1047</v>
      </c>
    </row>
    <row r="10" spans="1:21" ht="14.25" customHeight="1">
      <c r="A10" s="3419" t="s">
        <v>1031</v>
      </c>
      <c r="B10" s="3420" t="s">
        <v>2827</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3017</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1690</v>
      </c>
      <c r="K11" s="3422" t="s">
        <v>1041</v>
      </c>
      <c r="L11" s="3422" t="s">
        <v>1042</v>
      </c>
      <c r="M11" s="3422" t="s">
        <v>1043</v>
      </c>
      <c r="N11" s="3422" t="s">
        <v>1044</v>
      </c>
      <c r="O11" s="3422" t="s">
        <v>1045</v>
      </c>
      <c r="P11" s="3422" t="s">
        <v>2898</v>
      </c>
      <c r="Q11" s="3422" t="s">
        <v>1038</v>
      </c>
      <c r="R11" s="3422" t="s">
        <v>1046</v>
      </c>
      <c r="S11" s="3422" t="s">
        <v>2996</v>
      </c>
      <c r="T11" s="3422" t="s">
        <v>3018</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2899</v>
      </c>
      <c r="Q12" s="3422" t="s">
        <v>2933</v>
      </c>
      <c r="R12" s="3422" t="s">
        <v>2961</v>
      </c>
      <c r="S12" s="3422" t="s">
        <v>2997</v>
      </c>
      <c r="T12" s="3422" t="s">
        <v>3019</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2900</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2962</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2901</v>
      </c>
      <c r="Q15" s="3422" t="s">
        <v>2934</v>
      </c>
      <c r="R15" s="3422" t="s">
        <v>1090</v>
      </c>
      <c r="S15" s="3422" t="s">
        <v>2998</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2902</v>
      </c>
      <c r="Q16" s="3422" t="s">
        <v>1075</v>
      </c>
      <c r="R16" s="3422" t="s">
        <v>1098</v>
      </c>
      <c r="S16" s="3422" t="s">
        <v>1054</v>
      </c>
      <c r="T16" s="3422" t="s">
        <v>3020</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2903</v>
      </c>
      <c r="Q17" s="3422" t="s">
        <v>2935</v>
      </c>
      <c r="R17" s="3422" t="s">
        <v>1104</v>
      </c>
      <c r="S17" s="3422" t="s">
        <v>2999</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2904</v>
      </c>
      <c r="Q18" s="3422" t="s">
        <v>1089</v>
      </c>
      <c r="R18" s="3422" t="s">
        <v>2963</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2905</v>
      </c>
      <c r="Q19" s="3422" t="s">
        <v>1097</v>
      </c>
      <c r="R19" s="3422" t="s">
        <v>2964</v>
      </c>
      <c r="S19" s="3422" t="s">
        <v>1113</v>
      </c>
      <c r="T19" s="3422" t="s">
        <v>3021</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2906</v>
      </c>
      <c r="Q20" s="3422" t="s">
        <v>2936</v>
      </c>
      <c r="R20" s="3422" t="s">
        <v>1139</v>
      </c>
      <c r="S20" s="3422" t="s">
        <v>3000</v>
      </c>
      <c r="T20" s="3422" t="s">
        <v>1126</v>
      </c>
    </row>
    <row r="21" spans="1:20" ht="14.25" customHeight="1">
      <c r="A21" s="3422" t="s">
        <v>1031</v>
      </c>
      <c r="B21" s="1288" t="s">
        <v>1055</v>
      </c>
      <c r="C21" s="3422">
        <v>32370</v>
      </c>
      <c r="D21" s="3422">
        <v>26730</v>
      </c>
      <c r="E21" s="3422">
        <v>26640</v>
      </c>
      <c r="F21" s="3428"/>
      <c r="G21" s="3429">
        <v>19440</v>
      </c>
      <c r="K21" s="3431" t="s">
        <v>2828</v>
      </c>
      <c r="L21" s="3422" t="s">
        <v>1115</v>
      </c>
      <c r="M21" s="3422" t="s">
        <v>1116</v>
      </c>
      <c r="N21" s="3422" t="s">
        <v>1117</v>
      </c>
      <c r="O21" s="3422" t="s">
        <v>1118</v>
      </c>
      <c r="P21" s="3422" t="s">
        <v>1112</v>
      </c>
      <c r="Q21" s="3422" t="s">
        <v>1132</v>
      </c>
      <c r="R21" s="3422" t="s">
        <v>1142</v>
      </c>
      <c r="S21" s="3422" t="s">
        <v>3001</v>
      </c>
      <c r="T21" s="3422" t="s">
        <v>3022</v>
      </c>
    </row>
    <row r="22" spans="1:20" ht="14.25" customHeight="1">
      <c r="A22" s="3422" t="s">
        <v>1031</v>
      </c>
      <c r="B22" s="1288" t="s">
        <v>1062</v>
      </c>
      <c r="C22" s="3422">
        <v>29830</v>
      </c>
      <c r="D22" s="3422">
        <v>27600</v>
      </c>
      <c r="E22" s="3422">
        <v>28150</v>
      </c>
      <c r="F22" s="3428"/>
      <c r="G22" s="3429">
        <v>20080</v>
      </c>
      <c r="L22" s="3431" t="s">
        <v>2830</v>
      </c>
      <c r="M22" s="3422" t="s">
        <v>1120</v>
      </c>
      <c r="N22" s="3422" t="s">
        <v>1121</v>
      </c>
      <c r="O22" s="3422" t="s">
        <v>1122</v>
      </c>
      <c r="P22" s="3422" t="s">
        <v>2907</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2831</v>
      </c>
      <c r="M23" s="3422" t="s">
        <v>1127</v>
      </c>
      <c r="N23" s="3422" t="s">
        <v>1128</v>
      </c>
      <c r="O23" s="3422" t="s">
        <v>2861</v>
      </c>
      <c r="P23" s="3422" t="s">
        <v>2908</v>
      </c>
      <c r="Q23" s="3422" t="s">
        <v>1138</v>
      </c>
      <c r="R23" s="3422" t="s">
        <v>1147</v>
      </c>
      <c r="S23" s="3422" t="s">
        <v>3002</v>
      </c>
    </row>
    <row r="24" spans="1:20" ht="14.25" customHeight="1">
      <c r="A24" s="3422" t="s">
        <v>1031</v>
      </c>
      <c r="B24" s="1288" t="s">
        <v>1078</v>
      </c>
      <c r="C24" s="3422">
        <v>27930</v>
      </c>
      <c r="D24" s="3422">
        <v>32260</v>
      </c>
      <c r="E24" s="3422">
        <v>32120</v>
      </c>
      <c r="F24" s="3428"/>
      <c r="G24" s="3429">
        <v>23470</v>
      </c>
      <c r="L24" s="3431" t="s">
        <v>2832</v>
      </c>
      <c r="M24" s="3422" t="s">
        <v>1130</v>
      </c>
      <c r="N24" s="3422" t="s">
        <v>1131</v>
      </c>
      <c r="O24" s="3422" t="s">
        <v>2862</v>
      </c>
      <c r="P24" s="3422" t="s">
        <v>1134</v>
      </c>
      <c r="Q24" s="3422" t="s">
        <v>2937</v>
      </c>
      <c r="R24" s="3422" t="s">
        <v>2965</v>
      </c>
      <c r="S24" s="3422" t="s">
        <v>3003</v>
      </c>
    </row>
    <row r="25" spans="1:20" ht="14.25" customHeight="1">
      <c r="A25" s="3422" t="s">
        <v>1031</v>
      </c>
      <c r="B25" s="1288" t="s">
        <v>1083</v>
      </c>
      <c r="C25" s="3422">
        <v>32230</v>
      </c>
      <c r="D25" s="3422">
        <v>29640</v>
      </c>
      <c r="E25" s="3422">
        <v>29510</v>
      </c>
      <c r="F25" s="3428"/>
      <c r="G25" s="3429">
        <v>21560</v>
      </c>
      <c r="L25" s="3431" t="s">
        <v>2833</v>
      </c>
      <c r="M25" s="3422" t="s">
        <v>2836</v>
      </c>
      <c r="N25" s="3422" t="s">
        <v>1133</v>
      </c>
      <c r="O25" s="3422" t="s">
        <v>1141</v>
      </c>
      <c r="P25" s="3422" t="s">
        <v>1137</v>
      </c>
      <c r="Q25" s="3422" t="s">
        <v>1124</v>
      </c>
      <c r="R25" s="3422" t="s">
        <v>1119</v>
      </c>
      <c r="S25" s="3422" t="s">
        <v>3004</v>
      </c>
    </row>
    <row r="26" spans="1:20" ht="14.25" customHeight="1">
      <c r="A26" s="3422" t="s">
        <v>1031</v>
      </c>
      <c r="B26" s="1288" t="s">
        <v>1092</v>
      </c>
      <c r="C26" s="3422">
        <v>31690</v>
      </c>
      <c r="D26" s="3422">
        <v>27650</v>
      </c>
      <c r="E26" s="3422">
        <v>28200</v>
      </c>
      <c r="F26" s="3428"/>
      <c r="G26" s="3429">
        <v>20110</v>
      </c>
      <c r="L26" s="3431" t="s">
        <v>2834</v>
      </c>
      <c r="M26" s="3422" t="s">
        <v>2837</v>
      </c>
      <c r="N26" s="3422" t="s">
        <v>1136</v>
      </c>
      <c r="O26" s="3422" t="s">
        <v>1143</v>
      </c>
      <c r="P26" s="3422" t="s">
        <v>2909</v>
      </c>
      <c r="Q26" s="3422" t="s">
        <v>2938</v>
      </c>
      <c r="R26" s="3422" t="s">
        <v>1125</v>
      </c>
      <c r="S26" s="3422" t="s">
        <v>3005</v>
      </c>
    </row>
    <row r="27" spans="1:20" ht="14.25" customHeight="1">
      <c r="A27" s="3422" t="s">
        <v>1031</v>
      </c>
      <c r="B27" s="1288" t="s">
        <v>1099</v>
      </c>
      <c r="C27" s="3422">
        <v>29610</v>
      </c>
      <c r="D27" s="3422">
        <v>27770</v>
      </c>
      <c r="E27" s="3422">
        <v>28300</v>
      </c>
      <c r="F27" s="3428"/>
      <c r="G27" s="3429">
        <v>20210</v>
      </c>
      <c r="M27" s="3422" t="s">
        <v>2838</v>
      </c>
      <c r="N27" s="3422" t="s">
        <v>1140</v>
      </c>
      <c r="O27" s="3422" t="s">
        <v>1146</v>
      </c>
      <c r="P27" s="3422" t="s">
        <v>1123</v>
      </c>
      <c r="Q27" s="3422" t="s">
        <v>2939</v>
      </c>
      <c r="R27" s="3422" t="s">
        <v>2966</v>
      </c>
      <c r="S27" s="3422" t="s">
        <v>3006</v>
      </c>
    </row>
    <row r="28" spans="1:20" ht="14.25" customHeight="1">
      <c r="A28" s="3436" t="s">
        <v>1031</v>
      </c>
      <c r="B28" s="2600" t="s">
        <v>1107</v>
      </c>
      <c r="C28" s="1286"/>
      <c r="D28" s="1286">
        <v>31520</v>
      </c>
      <c r="E28" s="1286">
        <v>31410</v>
      </c>
      <c r="F28" s="3433"/>
      <c r="G28" s="3434">
        <v>22940</v>
      </c>
      <c r="M28" s="3422" t="s">
        <v>2839</v>
      </c>
      <c r="N28" s="3422" t="s">
        <v>2846</v>
      </c>
      <c r="O28" s="3422" t="s">
        <v>2863</v>
      </c>
      <c r="P28" s="3422" t="s">
        <v>2910</v>
      </c>
      <c r="Q28" s="3422" t="s">
        <v>2940</v>
      </c>
      <c r="R28" s="3422" t="s">
        <v>2967</v>
      </c>
      <c r="S28" s="3431" t="s">
        <v>3007</v>
      </c>
    </row>
    <row r="29" spans="1:20" ht="14.25" customHeight="1" thickBot="1">
      <c r="A29" s="3437" t="s">
        <v>1031</v>
      </c>
      <c r="B29" s="3425" t="s">
        <v>2828</v>
      </c>
      <c r="C29" s="3425"/>
      <c r="D29" s="3425">
        <v>29460</v>
      </c>
      <c r="E29" s="3425">
        <v>28640</v>
      </c>
      <c r="F29" s="3426"/>
      <c r="G29" s="3438">
        <v>21430</v>
      </c>
      <c r="M29" s="3431" t="s">
        <v>2840</v>
      </c>
      <c r="N29" s="3422" t="s">
        <v>2847</v>
      </c>
      <c r="O29" s="3422" t="s">
        <v>2864</v>
      </c>
      <c r="P29" s="3422" t="s">
        <v>2911</v>
      </c>
      <c r="Q29" s="3422" t="s">
        <v>2941</v>
      </c>
      <c r="R29" s="3422" t="s">
        <v>2968</v>
      </c>
      <c r="S29" s="3431" t="s">
        <v>1129</v>
      </c>
    </row>
    <row r="30" spans="1:20" ht="14.25" customHeight="1">
      <c r="A30" s="3436" t="s">
        <v>1145</v>
      </c>
      <c r="B30" s="1288" t="s">
        <v>2829</v>
      </c>
      <c r="C30" s="1288">
        <v>26890</v>
      </c>
      <c r="D30" s="1288">
        <v>26770</v>
      </c>
      <c r="E30" s="1288">
        <v>25700</v>
      </c>
      <c r="F30" s="3423">
        <v>8180</v>
      </c>
      <c r="G30" s="3423">
        <v>18740</v>
      </c>
      <c r="I30" s="1021"/>
      <c r="M30" s="3431" t="s">
        <v>2841</v>
      </c>
      <c r="N30" s="3422" t="s">
        <v>2848</v>
      </c>
      <c r="O30" s="3422" t="s">
        <v>2865</v>
      </c>
      <c r="P30" s="3422" t="s">
        <v>2912</v>
      </c>
      <c r="Q30" s="3422" t="s">
        <v>2942</v>
      </c>
      <c r="R30" s="3422" t="s">
        <v>2969</v>
      </c>
      <c r="S30" s="3431" t="s">
        <v>3008</v>
      </c>
    </row>
    <row r="31" spans="1:20" ht="14.25" customHeight="1">
      <c r="A31" s="3422" t="s">
        <v>1145</v>
      </c>
      <c r="B31" s="1288" t="s">
        <v>974</v>
      </c>
      <c r="C31" s="3422">
        <v>24550</v>
      </c>
      <c r="D31" s="3422">
        <v>23990</v>
      </c>
      <c r="E31" s="3422">
        <v>22930</v>
      </c>
      <c r="F31" s="3428">
        <v>7470</v>
      </c>
      <c r="G31" s="3428">
        <v>16790</v>
      </c>
      <c r="I31" s="1021"/>
      <c r="M31" s="3431" t="s">
        <v>2842</v>
      </c>
      <c r="N31" s="3422" t="s">
        <v>2849</v>
      </c>
      <c r="O31" s="3422" t="s">
        <v>2866</v>
      </c>
      <c r="P31" s="3422" t="s">
        <v>2913</v>
      </c>
      <c r="Q31" s="3422" t="s">
        <v>2943</v>
      </c>
      <c r="R31" s="3422" t="s">
        <v>2970</v>
      </c>
      <c r="S31" s="3431" t="s">
        <v>3009</v>
      </c>
    </row>
    <row r="32" spans="1:20" ht="14.25" customHeight="1">
      <c r="A32" s="3422" t="s">
        <v>1145</v>
      </c>
      <c r="B32" s="1288" t="s">
        <v>984</v>
      </c>
      <c r="C32" s="3422">
        <v>27210</v>
      </c>
      <c r="D32" s="3422">
        <v>23240</v>
      </c>
      <c r="E32" s="3422">
        <v>23260</v>
      </c>
      <c r="F32" s="3428">
        <v>7130</v>
      </c>
      <c r="G32" s="3428">
        <v>16270</v>
      </c>
      <c r="I32" s="1021"/>
      <c r="M32" s="3431" t="s">
        <v>2843</v>
      </c>
      <c r="N32" s="3422" t="s">
        <v>2850</v>
      </c>
      <c r="O32" s="3422" t="s">
        <v>1149</v>
      </c>
      <c r="P32" s="3422" t="s">
        <v>2914</v>
      </c>
      <c r="Q32" s="3422" t="s">
        <v>1148</v>
      </c>
      <c r="R32" s="3422" t="s">
        <v>2971</v>
      </c>
      <c r="S32" s="3431" t="s">
        <v>3010</v>
      </c>
    </row>
    <row r="33" spans="1:18" ht="14.25" customHeight="1">
      <c r="A33" s="3422" t="s">
        <v>1145</v>
      </c>
      <c r="B33" s="1288" t="s">
        <v>993</v>
      </c>
      <c r="C33" s="3422">
        <v>27300</v>
      </c>
      <c r="D33" s="3422">
        <v>22980</v>
      </c>
      <c r="E33" s="3422">
        <v>24260</v>
      </c>
      <c r="F33" s="3428">
        <v>5860</v>
      </c>
      <c r="G33" s="3428">
        <v>16090</v>
      </c>
      <c r="I33" s="1021"/>
      <c r="M33" s="3431" t="s">
        <v>2844</v>
      </c>
      <c r="N33" s="3422" t="s">
        <v>2851</v>
      </c>
      <c r="O33" s="3422" t="s">
        <v>1150</v>
      </c>
      <c r="P33" s="3422" t="s">
        <v>2915</v>
      </c>
      <c r="Q33" s="3422" t="s">
        <v>2944</v>
      </c>
      <c r="R33" s="3422" t="s">
        <v>2972</v>
      </c>
    </row>
    <row r="34" spans="1:18" ht="14.25" customHeight="1">
      <c r="A34" s="3422" t="s">
        <v>1145</v>
      </c>
      <c r="B34" s="1288" t="s">
        <v>1003</v>
      </c>
      <c r="C34" s="3422">
        <v>23090</v>
      </c>
      <c r="D34" s="3422">
        <v>23390</v>
      </c>
      <c r="E34" s="3422">
        <v>23510</v>
      </c>
      <c r="F34" s="3428">
        <v>6700</v>
      </c>
      <c r="G34" s="3428">
        <v>16370</v>
      </c>
      <c r="I34" s="1021"/>
      <c r="N34" s="3422" t="s">
        <v>2852</v>
      </c>
      <c r="O34" s="3422" t="s">
        <v>1151</v>
      </c>
      <c r="P34" s="3422" t="s">
        <v>2916</v>
      </c>
      <c r="Q34" s="3422" t="s">
        <v>2945</v>
      </c>
      <c r="R34" s="3422" t="s">
        <v>2973</v>
      </c>
    </row>
    <row r="35" spans="1:18" ht="14.25" customHeight="1">
      <c r="A35" s="3422" t="s">
        <v>1145</v>
      </c>
      <c r="B35" s="1288" t="s">
        <v>1010</v>
      </c>
      <c r="C35" s="3422">
        <v>27270</v>
      </c>
      <c r="D35" s="3422">
        <v>24270</v>
      </c>
      <c r="E35" s="3422">
        <v>24950</v>
      </c>
      <c r="F35" s="3428">
        <v>6600</v>
      </c>
      <c r="G35" s="3428">
        <v>16990</v>
      </c>
      <c r="I35" s="1021"/>
      <c r="N35" s="3422" t="s">
        <v>2853</v>
      </c>
      <c r="O35" s="3422" t="s">
        <v>2867</v>
      </c>
      <c r="P35" s="3422" t="s">
        <v>2917</v>
      </c>
      <c r="Q35" s="3422" t="s">
        <v>2946</v>
      </c>
      <c r="R35" s="3422" t="s">
        <v>2974</v>
      </c>
    </row>
    <row r="36" spans="1:18" ht="14.25" customHeight="1">
      <c r="A36" s="3422" t="s">
        <v>1145</v>
      </c>
      <c r="B36" s="1288" t="s">
        <v>1016</v>
      </c>
      <c r="C36" s="3422">
        <v>23490</v>
      </c>
      <c r="D36" s="3422">
        <v>23020</v>
      </c>
      <c r="E36" s="3422">
        <v>25230</v>
      </c>
      <c r="F36" s="3428">
        <v>6780</v>
      </c>
      <c r="G36" s="3428">
        <v>16120</v>
      </c>
      <c r="I36" s="1021"/>
      <c r="N36" s="3431" t="s">
        <v>2854</v>
      </c>
      <c r="O36" s="3459" t="s">
        <v>2868</v>
      </c>
      <c r="P36" s="3422" t="s">
        <v>2918</v>
      </c>
      <c r="Q36" s="3422" t="s">
        <v>2947</v>
      </c>
      <c r="R36" s="3422" t="s">
        <v>2975</v>
      </c>
    </row>
    <row r="37" spans="1:18" ht="14.25" customHeight="1">
      <c r="A37" s="3422" t="s">
        <v>1145</v>
      </c>
      <c r="B37" s="1288" t="s">
        <v>1023</v>
      </c>
      <c r="C37" s="3422">
        <v>24380</v>
      </c>
      <c r="D37" s="3422">
        <v>22240</v>
      </c>
      <c r="E37" s="3422">
        <v>25980</v>
      </c>
      <c r="F37" s="3428">
        <v>8160</v>
      </c>
      <c r="G37" s="3428">
        <v>15570</v>
      </c>
      <c r="I37" s="1022"/>
      <c r="N37" s="3431" t="s">
        <v>2855</v>
      </c>
      <c r="O37" s="3459" t="s">
        <v>2869</v>
      </c>
      <c r="P37" s="3422" t="s">
        <v>2919</v>
      </c>
      <c r="Q37" s="3422" t="s">
        <v>2948</v>
      </c>
      <c r="R37" s="3422" t="s">
        <v>2976</v>
      </c>
    </row>
    <row r="38" spans="1:18" ht="14.25" customHeight="1">
      <c r="A38" s="3422" t="s">
        <v>1145</v>
      </c>
      <c r="B38" s="1288" t="s">
        <v>1033</v>
      </c>
      <c r="C38" s="3422">
        <v>23120</v>
      </c>
      <c r="D38" s="3422">
        <v>24630</v>
      </c>
      <c r="E38" s="3422">
        <v>25030</v>
      </c>
      <c r="F38" s="3428">
        <v>7710</v>
      </c>
      <c r="G38" s="3428">
        <v>17240</v>
      </c>
      <c r="I38" s="1023"/>
      <c r="N38" s="3431" t="s">
        <v>2856</v>
      </c>
      <c r="O38" s="3459" t="s">
        <v>2870</v>
      </c>
      <c r="P38" s="3422" t="s">
        <v>2920</v>
      </c>
      <c r="Q38" s="3422" t="s">
        <v>2949</v>
      </c>
      <c r="R38" s="3422" t="s">
        <v>2977</v>
      </c>
    </row>
    <row r="39" spans="1:18" ht="14.25" customHeight="1">
      <c r="A39" s="3422" t="s">
        <v>1145</v>
      </c>
      <c r="B39" s="1288" t="s">
        <v>1042</v>
      </c>
      <c r="C39" s="3422">
        <v>22330</v>
      </c>
      <c r="D39" s="3422">
        <v>21140</v>
      </c>
      <c r="E39" s="3422">
        <v>23970</v>
      </c>
      <c r="F39" s="3428">
        <v>7940</v>
      </c>
      <c r="G39" s="3428">
        <v>14790</v>
      </c>
      <c r="I39" s="1023"/>
      <c r="N39" s="3431" t="s">
        <v>2857</v>
      </c>
      <c r="O39" s="3459" t="s">
        <v>2871</v>
      </c>
      <c r="P39" s="3422" t="s">
        <v>2921</v>
      </c>
      <c r="Q39" s="3422" t="s">
        <v>2950</v>
      </c>
      <c r="R39" s="3422" t="s">
        <v>2978</v>
      </c>
    </row>
    <row r="40" spans="1:18" ht="14.25" customHeight="1">
      <c r="A40" s="3422" t="s">
        <v>1145</v>
      </c>
      <c r="B40" s="1288" t="s">
        <v>1049</v>
      </c>
      <c r="C40" s="3422">
        <v>24740</v>
      </c>
      <c r="D40" s="3422">
        <v>24690</v>
      </c>
      <c r="E40" s="3422">
        <v>22610</v>
      </c>
      <c r="F40" s="3428"/>
      <c r="G40" s="3428">
        <v>17280</v>
      </c>
      <c r="I40" s="1023"/>
      <c r="N40" s="3431" t="s">
        <v>2858</v>
      </c>
      <c r="O40" s="3459" t="s">
        <v>2872</v>
      </c>
      <c r="P40" s="3422" t="s">
        <v>2922</v>
      </c>
      <c r="Q40" s="3422" t="s">
        <v>2951</v>
      </c>
      <c r="R40" s="3422" t="s">
        <v>2979</v>
      </c>
    </row>
    <row r="41" spans="1:18" ht="14.25" customHeight="1">
      <c r="A41" s="3422" t="s">
        <v>1145</v>
      </c>
      <c r="B41" s="1288" t="s">
        <v>1056</v>
      </c>
      <c r="C41" s="3422">
        <v>21220</v>
      </c>
      <c r="D41" s="3422">
        <v>21120</v>
      </c>
      <c r="E41" s="3422">
        <v>22590</v>
      </c>
      <c r="F41" s="3428"/>
      <c r="G41" s="3428">
        <v>14780</v>
      </c>
      <c r="I41" s="1023"/>
      <c r="N41" s="3431" t="s">
        <v>2859</v>
      </c>
      <c r="O41" s="3460" t="s">
        <v>2873</v>
      </c>
      <c r="P41" s="1288" t="s">
        <v>2923</v>
      </c>
      <c r="Q41" s="3431" t="s">
        <v>2952</v>
      </c>
      <c r="R41" s="1288" t="s">
        <v>2980</v>
      </c>
    </row>
    <row r="42" spans="1:18" ht="14.25" customHeight="1">
      <c r="A42" s="3422" t="s">
        <v>1145</v>
      </c>
      <c r="B42" s="1288" t="s">
        <v>1063</v>
      </c>
      <c r="C42" s="3422">
        <v>24800</v>
      </c>
      <c r="D42" s="3422">
        <v>22280</v>
      </c>
      <c r="E42" s="3422">
        <v>24350</v>
      </c>
      <c r="F42" s="3428"/>
      <c r="G42" s="3428">
        <v>15590</v>
      </c>
      <c r="I42" s="1023"/>
      <c r="O42" s="3422" t="s">
        <v>2874</v>
      </c>
      <c r="P42" s="3422" t="s">
        <v>2924</v>
      </c>
      <c r="Q42" s="3431" t="s">
        <v>2953</v>
      </c>
      <c r="R42" s="3422" t="s">
        <v>2981</v>
      </c>
    </row>
    <row r="43" spans="1:18" ht="14.25" customHeight="1">
      <c r="A43" s="3422" t="s">
        <v>1145</v>
      </c>
      <c r="B43" s="1288" t="s">
        <v>1071</v>
      </c>
      <c r="C43" s="3422">
        <v>21210</v>
      </c>
      <c r="D43" s="3422">
        <v>21160</v>
      </c>
      <c r="E43" s="3422">
        <v>22650</v>
      </c>
      <c r="F43" s="3428"/>
      <c r="G43" s="3428">
        <v>14800</v>
      </c>
      <c r="I43" s="1023"/>
      <c r="O43" s="3422" t="s">
        <v>2875</v>
      </c>
      <c r="P43" s="3422" t="s">
        <v>2925</v>
      </c>
      <c r="Q43" s="3431" t="s">
        <v>2954</v>
      </c>
      <c r="R43" s="3422" t="s">
        <v>2982</v>
      </c>
    </row>
    <row r="44" spans="1:18" ht="14.25" customHeight="1">
      <c r="A44" s="3422" t="s">
        <v>1145</v>
      </c>
      <c r="B44" s="1288" t="s">
        <v>1079</v>
      </c>
      <c r="C44" s="3422">
        <v>22370</v>
      </c>
      <c r="D44" s="3422">
        <v>23140</v>
      </c>
      <c r="E44" s="3422">
        <v>25090</v>
      </c>
      <c r="F44" s="3428"/>
      <c r="G44" s="3428">
        <v>16190</v>
      </c>
      <c r="I44" s="1023"/>
      <c r="O44" s="3422" t="s">
        <v>2876</v>
      </c>
      <c r="P44" s="3422" t="s">
        <v>2926</v>
      </c>
      <c r="Q44" s="3431" t="s">
        <v>2955</v>
      </c>
      <c r="R44" s="3422" t="s">
        <v>2983</v>
      </c>
    </row>
    <row r="45" spans="1:18" ht="14.25" customHeight="1">
      <c r="A45" s="3422" t="s">
        <v>1145</v>
      </c>
      <c r="B45" s="1288" t="s">
        <v>1084</v>
      </c>
      <c r="C45" s="3422">
        <v>21240</v>
      </c>
      <c r="D45" s="3422">
        <v>27050</v>
      </c>
      <c r="E45" s="3422">
        <v>28000</v>
      </c>
      <c r="F45" s="3428"/>
      <c r="G45" s="3428">
        <v>18940</v>
      </c>
      <c r="I45" s="1021"/>
      <c r="O45" s="3422" t="s">
        <v>2877</v>
      </c>
      <c r="P45" s="3422" t="s">
        <v>2927</v>
      </c>
      <c r="R45" s="3422" t="s">
        <v>2984</v>
      </c>
    </row>
    <row r="46" spans="1:18" ht="14.25" customHeight="1">
      <c r="A46" s="3422" t="s">
        <v>1145</v>
      </c>
      <c r="B46" s="1288" t="s">
        <v>1093</v>
      </c>
      <c r="C46" s="3422">
        <v>23240</v>
      </c>
      <c r="D46" s="3422">
        <v>23000</v>
      </c>
      <c r="E46" s="3422">
        <v>24980</v>
      </c>
      <c r="F46" s="3428"/>
      <c r="G46" s="3428">
        <v>16100</v>
      </c>
      <c r="I46" s="1023"/>
      <c r="O46" s="3422" t="s">
        <v>2878</v>
      </c>
      <c r="P46" s="3422"/>
      <c r="R46" s="3422" t="s">
        <v>2985</v>
      </c>
    </row>
    <row r="47" spans="1:18" ht="14.25" customHeight="1">
      <c r="A47" s="3422" t="s">
        <v>1145</v>
      </c>
      <c r="B47" s="2600" t="s">
        <v>1100</v>
      </c>
      <c r="C47" s="1286">
        <v>27150</v>
      </c>
      <c r="D47" s="1286">
        <v>23310</v>
      </c>
      <c r="E47" s="1286">
        <v>25150</v>
      </c>
      <c r="F47" s="3433"/>
      <c r="G47" s="3433">
        <v>16310</v>
      </c>
      <c r="I47" s="1023"/>
      <c r="O47" s="3422" t="s">
        <v>2879</v>
      </c>
      <c r="P47" s="3422"/>
      <c r="R47" s="3431" t="s">
        <v>2986</v>
      </c>
    </row>
    <row r="48" spans="1:18" ht="14.25" customHeight="1">
      <c r="A48" s="3422" t="s">
        <v>1145</v>
      </c>
      <c r="B48" s="3422" t="s">
        <v>1108</v>
      </c>
      <c r="C48" s="3422">
        <v>23100</v>
      </c>
      <c r="D48" s="3422">
        <v>21110</v>
      </c>
      <c r="E48" s="3422">
        <v>23080</v>
      </c>
      <c r="F48" s="3428"/>
      <c r="G48" s="3435">
        <v>14780</v>
      </c>
      <c r="I48" s="1021"/>
      <c r="O48" s="3422" t="s">
        <v>2880</v>
      </c>
      <c r="P48" s="3422"/>
      <c r="R48" s="3431" t="s">
        <v>2987</v>
      </c>
    </row>
    <row r="49" spans="1:18" ht="14.25" customHeight="1">
      <c r="A49" s="3422" t="s">
        <v>1145</v>
      </c>
      <c r="B49" s="1288" t="s">
        <v>1115</v>
      </c>
      <c r="C49" s="1288">
        <v>23400</v>
      </c>
      <c r="D49" s="1288">
        <v>22920</v>
      </c>
      <c r="E49" s="1288">
        <v>24900</v>
      </c>
      <c r="F49" s="3423"/>
      <c r="G49" s="3423">
        <v>16040</v>
      </c>
      <c r="I49" s="1023"/>
      <c r="O49" s="3422" t="s">
        <v>2881</v>
      </c>
      <c r="P49" s="3422"/>
      <c r="R49" s="3431" t="s">
        <v>2988</v>
      </c>
    </row>
    <row r="50" spans="1:18" ht="14.25" customHeight="1">
      <c r="A50" s="3422" t="s">
        <v>1145</v>
      </c>
      <c r="B50" s="3422" t="s">
        <v>2830</v>
      </c>
      <c r="C50" s="3422">
        <v>21200</v>
      </c>
      <c r="D50" s="3422">
        <v>26540</v>
      </c>
      <c r="E50" s="3422">
        <v>23200</v>
      </c>
      <c r="F50" s="3428"/>
      <c r="G50" s="3428">
        <v>18580</v>
      </c>
      <c r="I50" s="1023"/>
      <c r="O50" s="3431" t="s">
        <v>2882</v>
      </c>
      <c r="R50" s="3431" t="s">
        <v>2989</v>
      </c>
    </row>
    <row r="51" spans="1:18" ht="14.25" customHeight="1">
      <c r="A51" s="3422" t="s">
        <v>1145</v>
      </c>
      <c r="B51" s="3422" t="s">
        <v>2831</v>
      </c>
      <c r="C51" s="3422">
        <v>23000</v>
      </c>
      <c r="D51" s="3422">
        <v>23460</v>
      </c>
      <c r="E51" s="3422">
        <v>25290</v>
      </c>
      <c r="F51" s="3428"/>
      <c r="G51" s="3428">
        <v>16420</v>
      </c>
      <c r="I51" s="1023"/>
      <c r="O51" s="3431" t="s">
        <v>2883</v>
      </c>
      <c r="R51" s="3431" t="s">
        <v>2990</v>
      </c>
    </row>
    <row r="52" spans="1:18" ht="14.25" customHeight="1">
      <c r="A52" s="3422" t="s">
        <v>1145</v>
      </c>
      <c r="B52" s="3422" t="s">
        <v>2832</v>
      </c>
      <c r="C52" s="3422">
        <v>26660</v>
      </c>
      <c r="D52" s="3422">
        <v>22350</v>
      </c>
      <c r="E52" s="3422">
        <v>22920</v>
      </c>
      <c r="F52" s="3428"/>
      <c r="G52" s="3428">
        <v>15640</v>
      </c>
      <c r="I52" s="1023"/>
      <c r="O52" s="3431" t="s">
        <v>2884</v>
      </c>
    </row>
    <row r="53" spans="1:18" ht="14.25" customHeight="1">
      <c r="A53" s="3422" t="s">
        <v>1145</v>
      </c>
      <c r="B53" s="3422" t="s">
        <v>2833</v>
      </c>
      <c r="C53" s="3422">
        <v>23580</v>
      </c>
      <c r="D53" s="3422"/>
      <c r="E53" s="3422">
        <v>24280</v>
      </c>
      <c r="F53" s="3428"/>
      <c r="G53" s="3428"/>
      <c r="I53" s="1023"/>
      <c r="O53" s="3431" t="s">
        <v>2885</v>
      </c>
    </row>
    <row r="54" spans="1:18" ht="14.25" customHeight="1" thickBot="1">
      <c r="A54" s="3437" t="s">
        <v>1145</v>
      </c>
      <c r="B54" s="3425" t="s">
        <v>2834</v>
      </c>
      <c r="C54" s="3425">
        <v>22460</v>
      </c>
      <c r="D54" s="3425"/>
      <c r="E54" s="3425"/>
      <c r="F54" s="3426"/>
      <c r="G54" s="3438"/>
      <c r="I54" s="1023"/>
      <c r="O54" s="3431" t="s">
        <v>2886</v>
      </c>
    </row>
    <row r="55" spans="1:18" ht="14.25" customHeight="1">
      <c r="A55" s="3436" t="s">
        <v>853</v>
      </c>
      <c r="B55" s="1288" t="s">
        <v>2835</v>
      </c>
      <c r="C55" s="1288">
        <v>21970</v>
      </c>
      <c r="D55" s="1288">
        <v>20370</v>
      </c>
      <c r="E55" s="1288">
        <v>20180</v>
      </c>
      <c r="F55" s="3423">
        <v>5730</v>
      </c>
      <c r="G55" s="3423">
        <v>13820</v>
      </c>
      <c r="I55" s="1023"/>
      <c r="O55" s="3431" t="s">
        <v>2887</v>
      </c>
    </row>
    <row r="56" spans="1:18" ht="14.25" customHeight="1">
      <c r="A56" s="3422" t="s">
        <v>853</v>
      </c>
      <c r="B56" s="3422" t="s">
        <v>975</v>
      </c>
      <c r="C56" s="3422">
        <v>20470</v>
      </c>
      <c r="D56" s="3422">
        <v>20700</v>
      </c>
      <c r="E56" s="3422">
        <v>20380</v>
      </c>
      <c r="F56" s="3428">
        <v>4760</v>
      </c>
      <c r="G56" s="3428">
        <v>14050</v>
      </c>
      <c r="I56" s="1023"/>
      <c r="O56" s="3431" t="s">
        <v>2888</v>
      </c>
    </row>
    <row r="57" spans="1:18" ht="14.25" customHeight="1">
      <c r="A57" s="3422" t="s">
        <v>853</v>
      </c>
      <c r="B57" s="3422" t="s">
        <v>985</v>
      </c>
      <c r="C57" s="3422">
        <v>20790</v>
      </c>
      <c r="D57" s="3422">
        <v>21370</v>
      </c>
      <c r="E57" s="3422">
        <v>20890</v>
      </c>
      <c r="F57" s="3428">
        <v>4910</v>
      </c>
      <c r="G57" s="3428">
        <v>14510</v>
      </c>
      <c r="I57" s="1023"/>
      <c r="O57" s="3431" t="s">
        <v>2889</v>
      </c>
    </row>
    <row r="58" spans="1:18" ht="14.25" customHeight="1">
      <c r="A58" s="3422" t="s">
        <v>853</v>
      </c>
      <c r="B58" s="3422" t="s">
        <v>994</v>
      </c>
      <c r="C58" s="3422">
        <v>21460</v>
      </c>
      <c r="D58" s="3422">
        <v>20920</v>
      </c>
      <c r="E58" s="3422">
        <v>23410</v>
      </c>
      <c r="F58" s="3428">
        <v>5100</v>
      </c>
      <c r="G58" s="3428">
        <v>14200</v>
      </c>
      <c r="I58" s="1023"/>
      <c r="O58" s="3431" t="s">
        <v>2890</v>
      </c>
    </row>
    <row r="59" spans="1:18" ht="14.25" customHeight="1">
      <c r="A59" s="3422" t="s">
        <v>853</v>
      </c>
      <c r="B59" s="3422" t="s">
        <v>1004</v>
      </c>
      <c r="C59" s="3422">
        <v>21000</v>
      </c>
      <c r="D59" s="3422">
        <v>21550</v>
      </c>
      <c r="E59" s="3422">
        <v>21150</v>
      </c>
      <c r="F59" s="3428">
        <v>5250</v>
      </c>
      <c r="G59" s="3428">
        <v>14630</v>
      </c>
      <c r="I59" s="1023"/>
      <c r="O59" s="3431" t="s">
        <v>2891</v>
      </c>
    </row>
    <row r="60" spans="1:18" ht="14.25" customHeight="1">
      <c r="A60" s="3422" t="s">
        <v>853</v>
      </c>
      <c r="B60" s="3422" t="s">
        <v>1011</v>
      </c>
      <c r="C60" s="3422">
        <v>21640</v>
      </c>
      <c r="D60" s="3422">
        <v>21260</v>
      </c>
      <c r="E60" s="3422">
        <v>24040</v>
      </c>
      <c r="F60" s="3428">
        <v>4470</v>
      </c>
      <c r="G60" s="3428">
        <v>14430</v>
      </c>
      <c r="I60" s="1023"/>
      <c r="O60" s="3431" t="s">
        <v>2892</v>
      </c>
    </row>
    <row r="61" spans="1:18" ht="14.25" customHeight="1">
      <c r="A61" s="3422" t="s">
        <v>853</v>
      </c>
      <c r="B61" s="3422" t="s">
        <v>1017</v>
      </c>
      <c r="C61" s="3422">
        <v>21330</v>
      </c>
      <c r="D61" s="3422">
        <v>18640</v>
      </c>
      <c r="E61" s="3422">
        <v>21190</v>
      </c>
      <c r="F61" s="3428">
        <v>4180</v>
      </c>
      <c r="G61" s="3430">
        <v>12650</v>
      </c>
      <c r="I61" s="1023"/>
      <c r="O61" s="3431" t="s">
        <v>2893</v>
      </c>
    </row>
    <row r="62" spans="1:18" ht="14.25" customHeight="1">
      <c r="A62" s="3422" t="s">
        <v>853</v>
      </c>
      <c r="B62" s="3422" t="s">
        <v>1024</v>
      </c>
      <c r="C62" s="3422">
        <v>18710</v>
      </c>
      <c r="D62" s="3422">
        <v>19400</v>
      </c>
      <c r="E62" s="3422">
        <v>23750</v>
      </c>
      <c r="F62" s="3428">
        <v>4860</v>
      </c>
      <c r="G62" s="3430">
        <v>13170</v>
      </c>
      <c r="I62" s="1023"/>
      <c r="O62" s="3431" t="s">
        <v>2894</v>
      </c>
    </row>
    <row r="63" spans="1:18" ht="14.25" customHeight="1">
      <c r="A63" s="3422" t="s">
        <v>853</v>
      </c>
      <c r="B63" s="3422" t="s">
        <v>1034</v>
      </c>
      <c r="C63" s="3422">
        <v>19480</v>
      </c>
      <c r="D63" s="3422">
        <v>16830</v>
      </c>
      <c r="E63" s="3422">
        <v>21590</v>
      </c>
      <c r="F63" s="3428">
        <v>4560</v>
      </c>
      <c r="G63" s="3430">
        <v>11420</v>
      </c>
      <c r="I63" s="1023"/>
      <c r="O63" s="3431" t="s">
        <v>2895</v>
      </c>
    </row>
    <row r="64" spans="1:18" ht="14.25" customHeight="1">
      <c r="A64" s="3422" t="s">
        <v>853</v>
      </c>
      <c r="B64" s="3422" t="s">
        <v>1043</v>
      </c>
      <c r="C64" s="3422">
        <v>16920</v>
      </c>
      <c r="D64" s="3422">
        <v>19190</v>
      </c>
      <c r="E64" s="3422">
        <v>22200</v>
      </c>
      <c r="F64" s="3428">
        <v>4390</v>
      </c>
      <c r="G64" s="3430">
        <v>13030</v>
      </c>
      <c r="I64" s="1023"/>
      <c r="O64" s="3431" t="s">
        <v>2896</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2836</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2837</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2838</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2839</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2840</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2841</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2842</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2843</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2844</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2845</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2846</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2847</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2848</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2849</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2850</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2851</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2852</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2853</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2854</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2855</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2856</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2857</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2858</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2859</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2860</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2861</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2862</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2863</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2864</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2865</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2866</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2867</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2868</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2869</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2870</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2871</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2872</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2873</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2874</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2875</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2876</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2877</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2878</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2879</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2880</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2881</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2882</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2883</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2884</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2885</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2886</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2887</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2888</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2889</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2890</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2891</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2892</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2893</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2894</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2895</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2896</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2897</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2898</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2899</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2900</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2901</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2902</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2903</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2904</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2905</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2906</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2907</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2908</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2909</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2910</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2911</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2912</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2913</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2914</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2915</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2916</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2917</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2918</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2919</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2920</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2921</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2922</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2923</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2924</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2925</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2926</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2927</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2928</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2929</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2930</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2931</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2932</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2933</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2934</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2935</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2936</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2937</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2938</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2939</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2940</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2941</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2942</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2943</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2944</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2945</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2946</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2947</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2948</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2949</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2950</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2951</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2952</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2953</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2954</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2955</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2956</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2957</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2958</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2959</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2960</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2961</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2962</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2963</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2964</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2965</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2966</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2967</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2968</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2969</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2970</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2971</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2972</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2973</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2974</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2975</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2976</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2977</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2978</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2979</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2980</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2981</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2982</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2983</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2984</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2985</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2986</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2987</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2988</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2989</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2990</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2991</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2992</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2993</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2994</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2995</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2996</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2997</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2998</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2999</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3000</v>
      </c>
      <c r="C345" s="3431">
        <v>3190</v>
      </c>
      <c r="D345" s="3431">
        <v>3140</v>
      </c>
      <c r="E345" s="3431">
        <v>3450</v>
      </c>
      <c r="F345" s="3431">
        <v>720</v>
      </c>
      <c r="G345" s="3431">
        <v>1880</v>
      </c>
      <c r="H345" s="3444"/>
    </row>
    <row r="346" spans="1:21">
      <c r="A346" s="3431" t="s">
        <v>1157</v>
      </c>
      <c r="B346" s="3431" t="s">
        <v>3001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3002</v>
      </c>
      <c r="C348" s="3431">
        <v>4000</v>
      </c>
      <c r="D348" s="3431">
        <v>3950</v>
      </c>
      <c r="E348" s="3431">
        <v>4430</v>
      </c>
      <c r="F348" s="3431">
        <v>760</v>
      </c>
      <c r="G348" s="3431">
        <v>2360</v>
      </c>
      <c r="H348" s="3444"/>
    </row>
    <row r="349" spans="1:21">
      <c r="A349" s="3431" t="s">
        <v>1157</v>
      </c>
      <c r="B349" s="3431" t="s">
        <v>3003</v>
      </c>
      <c r="C349" s="3431">
        <v>3820</v>
      </c>
      <c r="D349" s="3431">
        <v>3780</v>
      </c>
      <c r="E349" s="3431">
        <v>4170</v>
      </c>
      <c r="F349" s="3431">
        <v>710</v>
      </c>
      <c r="G349" s="3431">
        <v>2260</v>
      </c>
      <c r="H349" s="3444"/>
    </row>
    <row r="350" spans="1:21">
      <c r="A350" s="3431" t="s">
        <v>1157</v>
      </c>
      <c r="B350" s="3431" t="s">
        <v>3004</v>
      </c>
      <c r="C350" s="3431">
        <v>3760</v>
      </c>
      <c r="D350" s="3431">
        <v>3730</v>
      </c>
      <c r="E350" s="3431">
        <v>4100</v>
      </c>
      <c r="F350" s="3431">
        <v>800</v>
      </c>
      <c r="G350" s="3431">
        <v>2230</v>
      </c>
      <c r="H350" s="3444"/>
    </row>
    <row r="351" spans="1:21">
      <c r="A351" s="3431" t="s">
        <v>1157</v>
      </c>
      <c r="B351" s="3431" t="s">
        <v>3005</v>
      </c>
      <c r="C351" s="3431">
        <v>3610</v>
      </c>
      <c r="D351" s="3431">
        <v>3580</v>
      </c>
      <c r="E351" s="3431">
        <v>3930</v>
      </c>
      <c r="F351" s="3431">
        <v>700</v>
      </c>
      <c r="G351" s="3431">
        <v>2140</v>
      </c>
      <c r="H351" s="3444"/>
    </row>
    <row r="352" spans="1:21">
      <c r="A352" s="3431" t="s">
        <v>1157</v>
      </c>
      <c r="B352" s="3431" t="s">
        <v>3006</v>
      </c>
      <c r="C352" s="3431">
        <v>3670</v>
      </c>
      <c r="D352" s="3431">
        <v>3630</v>
      </c>
      <c r="E352" s="3431">
        <v>4000</v>
      </c>
      <c r="F352" s="3431">
        <v>750</v>
      </c>
      <c r="G352" s="3431">
        <v>2180</v>
      </c>
      <c r="H352" s="3444"/>
    </row>
    <row r="353" spans="1:8">
      <c r="A353" s="3431" t="s">
        <v>1157</v>
      </c>
      <c r="B353" s="3431" t="s">
        <v>3007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3008</v>
      </c>
      <c r="C355" s="3431">
        <v>3650</v>
      </c>
      <c r="D355" s="3431">
        <v>3610</v>
      </c>
      <c r="E355" s="3431">
        <v>4200</v>
      </c>
      <c r="F355" s="3431">
        <v>640</v>
      </c>
      <c r="G355" s="3431">
        <v>2160</v>
      </c>
      <c r="H355" s="3444"/>
    </row>
    <row r="356" spans="1:8">
      <c r="A356" s="3431" t="s">
        <v>1157</v>
      </c>
      <c r="B356" s="3431" t="s">
        <v>3009</v>
      </c>
      <c r="C356" s="3431">
        <v>3260</v>
      </c>
      <c r="D356" s="3431">
        <v>3230</v>
      </c>
      <c r="E356" s="3431">
        <v>3740</v>
      </c>
      <c r="F356" s="3431">
        <v>600</v>
      </c>
      <c r="G356" s="3431">
        <v>1930</v>
      </c>
      <c r="H356" s="3444"/>
    </row>
    <row r="357" spans="1:8" ht="15" thickBot="1">
      <c r="A357" s="3447" t="s">
        <v>1157</v>
      </c>
      <c r="B357" s="3447" t="s">
        <v>3010</v>
      </c>
      <c r="C357" s="3447">
        <v>3690</v>
      </c>
      <c r="D357" s="3447">
        <v>3650</v>
      </c>
      <c r="E357" s="3447">
        <v>4020</v>
      </c>
      <c r="F357" s="3447">
        <v>700</v>
      </c>
      <c r="G357" s="3447">
        <v>2190</v>
      </c>
      <c r="H357" s="3444"/>
    </row>
    <row r="358" spans="1:8">
      <c r="A358" s="3448" t="s">
        <v>2766</v>
      </c>
      <c r="B358" s="3449" t="s">
        <v>3011</v>
      </c>
      <c r="C358" s="3449">
        <v>2080</v>
      </c>
      <c r="D358" s="3449">
        <v>2040</v>
      </c>
      <c r="E358" s="3449">
        <v>2010</v>
      </c>
      <c r="F358" s="3449">
        <v>530</v>
      </c>
      <c r="G358" s="3450">
        <v>1230</v>
      </c>
      <c r="H358" s="3444"/>
    </row>
    <row r="359" spans="1:8">
      <c r="A359" s="3451" t="s">
        <v>2766</v>
      </c>
      <c r="B359" s="3431" t="s">
        <v>3012</v>
      </c>
      <c r="C359" s="3431">
        <v>1850</v>
      </c>
      <c r="D359" s="3431">
        <v>1820</v>
      </c>
      <c r="E359" s="3431">
        <v>1780</v>
      </c>
      <c r="F359" s="3431">
        <v>520</v>
      </c>
      <c r="G359" s="3443">
        <v>1100</v>
      </c>
      <c r="H359" s="3444"/>
    </row>
    <row r="360" spans="1:8">
      <c r="A360" s="3451" t="s">
        <v>2766</v>
      </c>
      <c r="B360" s="3431" t="s">
        <v>3013</v>
      </c>
      <c r="C360" s="3431">
        <v>2020</v>
      </c>
      <c r="D360" s="3431">
        <v>1990</v>
      </c>
      <c r="E360" s="3431">
        <v>1950</v>
      </c>
      <c r="F360" s="3431">
        <v>500</v>
      </c>
      <c r="G360" s="3443">
        <v>1200</v>
      </c>
      <c r="H360" s="3444"/>
    </row>
    <row r="361" spans="1:8">
      <c r="A361" s="3451" t="s">
        <v>2766</v>
      </c>
      <c r="B361" s="3431" t="s">
        <v>999</v>
      </c>
      <c r="C361" s="3431">
        <v>2260</v>
      </c>
      <c r="D361" s="3431">
        <v>2220</v>
      </c>
      <c r="E361" s="3431">
        <v>2180</v>
      </c>
      <c r="F361" s="3431">
        <v>580</v>
      </c>
      <c r="G361" s="3443">
        <v>1340</v>
      </c>
      <c r="H361" s="3444"/>
    </row>
    <row r="362" spans="1:8">
      <c r="A362" s="3451" t="s">
        <v>2766</v>
      </c>
      <c r="B362" s="3431" t="s">
        <v>3014</v>
      </c>
      <c r="C362" s="3431">
        <v>2650</v>
      </c>
      <c r="D362" s="3431">
        <v>2610</v>
      </c>
      <c r="E362" s="3431">
        <v>2570</v>
      </c>
      <c r="F362" s="3431">
        <v>630</v>
      </c>
      <c r="G362" s="3443">
        <v>1570</v>
      </c>
      <c r="H362" s="3444"/>
    </row>
    <row r="363" spans="1:8">
      <c r="A363" s="3451" t="s">
        <v>2766</v>
      </c>
      <c r="B363" s="3431" t="s">
        <v>3015</v>
      </c>
      <c r="C363" s="3431">
        <v>2390</v>
      </c>
      <c r="D363" s="3431">
        <v>2360</v>
      </c>
      <c r="E363" s="3431">
        <v>2320</v>
      </c>
      <c r="F363" s="3431">
        <v>600</v>
      </c>
      <c r="G363" s="3443">
        <v>1420</v>
      </c>
      <c r="H363" s="3444"/>
    </row>
    <row r="364" spans="1:8">
      <c r="A364" s="3451" t="s">
        <v>2766</v>
      </c>
      <c r="B364" s="3431" t="s">
        <v>3016</v>
      </c>
      <c r="C364" s="3431">
        <v>2050</v>
      </c>
      <c r="D364" s="3431">
        <v>2030</v>
      </c>
      <c r="E364" s="3431">
        <v>1990</v>
      </c>
      <c r="F364" s="3431">
        <v>550</v>
      </c>
      <c r="G364" s="3443">
        <v>1220</v>
      </c>
      <c r="H364" s="3444"/>
    </row>
    <row r="365" spans="1:8">
      <c r="A365" s="3451" t="s">
        <v>2766</v>
      </c>
      <c r="B365" s="3431" t="s">
        <v>1047</v>
      </c>
      <c r="C365" s="3431">
        <v>2140</v>
      </c>
      <c r="D365" s="3431">
        <v>2100</v>
      </c>
      <c r="E365" s="3431">
        <v>2060</v>
      </c>
      <c r="F365" s="3431">
        <v>540</v>
      </c>
      <c r="G365" s="3443">
        <v>1270</v>
      </c>
      <c r="H365" s="3444"/>
    </row>
    <row r="366" spans="1:8">
      <c r="A366" s="3451" t="s">
        <v>2766</v>
      </c>
      <c r="B366" s="3431" t="s">
        <v>3017</v>
      </c>
      <c r="C366" s="3431">
        <v>2410</v>
      </c>
      <c r="D366" s="3431">
        <v>2370</v>
      </c>
      <c r="E366" s="3431">
        <v>2330</v>
      </c>
      <c r="F366" s="3431">
        <v>570</v>
      </c>
      <c r="G366" s="3443">
        <v>1440</v>
      </c>
      <c r="H366" s="3444"/>
    </row>
    <row r="367" spans="1:8">
      <c r="A367" s="3451" t="s">
        <v>2766</v>
      </c>
      <c r="B367" s="3431" t="s">
        <v>3018</v>
      </c>
      <c r="C367" s="3431">
        <v>2300</v>
      </c>
      <c r="D367" s="3431">
        <v>2260</v>
      </c>
      <c r="E367" s="3431">
        <v>2220</v>
      </c>
      <c r="F367" s="3431">
        <v>560</v>
      </c>
      <c r="G367" s="3443">
        <v>1370</v>
      </c>
      <c r="H367" s="3444"/>
    </row>
    <row r="368" spans="1:8">
      <c r="A368" s="3451" t="s">
        <v>2766</v>
      </c>
      <c r="B368" s="3431" t="s">
        <v>3019</v>
      </c>
      <c r="C368" s="3431">
        <v>2430</v>
      </c>
      <c r="D368" s="3431">
        <v>2390</v>
      </c>
      <c r="E368" s="3431">
        <v>2350</v>
      </c>
      <c r="F368" s="3431">
        <v>570</v>
      </c>
      <c r="G368" s="3443">
        <v>1450</v>
      </c>
      <c r="H368" s="3444"/>
    </row>
    <row r="369" spans="1:8">
      <c r="A369" s="3451" t="s">
        <v>2766</v>
      </c>
      <c r="B369" s="3431" t="s">
        <v>1061</v>
      </c>
      <c r="C369" s="3431">
        <v>2320</v>
      </c>
      <c r="D369" s="3431">
        <v>2290</v>
      </c>
      <c r="E369" s="3431">
        <v>2250</v>
      </c>
      <c r="F369" s="3431">
        <v>550</v>
      </c>
      <c r="G369" s="3443">
        <v>1380</v>
      </c>
      <c r="H369" s="3444"/>
    </row>
    <row r="370" spans="1:8">
      <c r="A370" s="3451" t="s">
        <v>2766</v>
      </c>
      <c r="B370" s="3431" t="s">
        <v>1069</v>
      </c>
      <c r="C370" s="3431">
        <v>2190</v>
      </c>
      <c r="D370" s="3431">
        <v>2170</v>
      </c>
      <c r="E370" s="3431">
        <v>2130</v>
      </c>
      <c r="F370" s="3431">
        <v>530</v>
      </c>
      <c r="G370" s="3443">
        <v>1310</v>
      </c>
      <c r="H370" s="3444"/>
    </row>
    <row r="371" spans="1:8">
      <c r="A371" s="3451" t="s">
        <v>2766</v>
      </c>
      <c r="B371" s="3431" t="s">
        <v>1077</v>
      </c>
      <c r="C371" s="3431">
        <v>2460</v>
      </c>
      <c r="D371" s="3431">
        <v>2420</v>
      </c>
      <c r="E371" s="3431">
        <v>2370</v>
      </c>
      <c r="F371" s="3431">
        <v>560</v>
      </c>
      <c r="G371" s="3443">
        <v>1470</v>
      </c>
      <c r="H371" s="3444"/>
    </row>
    <row r="372" spans="1:8">
      <c r="A372" s="3451" t="s">
        <v>2766</v>
      </c>
      <c r="B372" s="3431" t="s">
        <v>3020</v>
      </c>
      <c r="C372" s="3431">
        <v>2250</v>
      </c>
      <c r="D372" s="3431">
        <v>2210</v>
      </c>
      <c r="E372" s="3431">
        <v>2180</v>
      </c>
      <c r="F372" s="3431">
        <v>550</v>
      </c>
      <c r="G372" s="3443">
        <v>1340</v>
      </c>
      <c r="H372" s="3444"/>
    </row>
    <row r="373" spans="1:8">
      <c r="A373" s="3451" t="s">
        <v>2766</v>
      </c>
      <c r="B373" s="3431" t="s">
        <v>1106</v>
      </c>
      <c r="C373" s="3431">
        <v>2210</v>
      </c>
      <c r="D373" s="3431">
        <v>2190</v>
      </c>
      <c r="E373" s="3431">
        <v>2150</v>
      </c>
      <c r="F373" s="3431">
        <v>530</v>
      </c>
      <c r="G373" s="3443">
        <v>1320</v>
      </c>
      <c r="H373" s="3444"/>
    </row>
    <row r="374" spans="1:8">
      <c r="A374" s="3451" t="s">
        <v>2766</v>
      </c>
      <c r="B374" s="3431" t="s">
        <v>1114</v>
      </c>
      <c r="C374" s="3431">
        <v>2320</v>
      </c>
      <c r="D374" s="3431">
        <v>2280</v>
      </c>
      <c r="E374" s="3431">
        <v>2230</v>
      </c>
      <c r="F374" s="3431">
        <v>580</v>
      </c>
      <c r="G374" s="3443">
        <v>1380</v>
      </c>
      <c r="H374" s="3444"/>
    </row>
    <row r="375" spans="1:8">
      <c r="A375" s="3451" t="s">
        <v>2766</v>
      </c>
      <c r="B375" s="3431" t="s">
        <v>3021</v>
      </c>
      <c r="C375" s="3431">
        <v>2090</v>
      </c>
      <c r="D375" s="3431">
        <v>2050</v>
      </c>
      <c r="E375" s="3431">
        <v>2020</v>
      </c>
      <c r="F375" s="3431">
        <v>520</v>
      </c>
      <c r="G375" s="3443">
        <v>1240</v>
      </c>
      <c r="H375" s="3444"/>
    </row>
    <row r="376" spans="1:8">
      <c r="A376" s="3451" t="s">
        <v>2766</v>
      </c>
      <c r="B376" s="3431" t="s">
        <v>1126</v>
      </c>
      <c r="C376" s="3431">
        <v>2010</v>
      </c>
      <c r="D376" s="3431">
        <v>1980</v>
      </c>
      <c r="E376" s="3431">
        <v>1940</v>
      </c>
      <c r="F376" s="3431">
        <v>540</v>
      </c>
      <c r="G376" s="3443">
        <v>1190</v>
      </c>
      <c r="H376" s="3444"/>
    </row>
    <row r="377" spans="1:8" ht="15" thickBot="1">
      <c r="A377" s="3453" t="s">
        <v>2766</v>
      </c>
      <c r="B377" s="3447" t="s">
        <v>3022</v>
      </c>
      <c r="C377" s="3447">
        <v>1930</v>
      </c>
      <c r="D377" s="3447">
        <v>1890</v>
      </c>
      <c r="E377" s="3447">
        <v>1860</v>
      </c>
      <c r="F377" s="3447">
        <v>530</v>
      </c>
      <c r="G377" s="3454">
        <v>1150</v>
      </c>
      <c r="H377" s="3444"/>
    </row>
    <row r="378" spans="1:8">
      <c r="A378" s="3448" t="s">
        <v>2767</v>
      </c>
      <c r="B378" s="3449" t="s">
        <v>3023</v>
      </c>
      <c r="C378" s="3449">
        <v>1520</v>
      </c>
      <c r="D378" s="3449">
        <v>1490</v>
      </c>
      <c r="E378" s="3449">
        <v>1460</v>
      </c>
      <c r="F378" s="3449">
        <v>460</v>
      </c>
      <c r="G378" s="3450">
        <v>940</v>
      </c>
      <c r="H378" s="3444"/>
    </row>
    <row r="379" spans="1:8">
      <c r="A379" s="3451" t="s">
        <v>2767</v>
      </c>
      <c r="B379" s="3431" t="s">
        <v>3024</v>
      </c>
      <c r="C379" s="3431">
        <v>1500</v>
      </c>
      <c r="D379" s="3431">
        <v>1470</v>
      </c>
      <c r="E379" s="3431">
        <v>1430</v>
      </c>
      <c r="F379" s="3431">
        <v>460</v>
      </c>
      <c r="G379" s="3443">
        <v>920</v>
      </c>
      <c r="H379" s="3444"/>
    </row>
    <row r="380" spans="1:8">
      <c r="A380" s="3451" t="s">
        <v>2767</v>
      </c>
      <c r="B380" s="3431" t="s">
        <v>3025</v>
      </c>
      <c r="C380" s="3431">
        <v>1620</v>
      </c>
      <c r="D380" s="3431">
        <v>1590</v>
      </c>
      <c r="E380" s="3431">
        <v>1560</v>
      </c>
      <c r="F380" s="3431">
        <v>480</v>
      </c>
      <c r="G380" s="3443">
        <v>1000</v>
      </c>
      <c r="H380" s="3444"/>
    </row>
    <row r="381" spans="1:8">
      <c r="A381" s="3451" t="s">
        <v>2767</v>
      </c>
      <c r="B381" s="3431" t="s">
        <v>3026</v>
      </c>
      <c r="C381" s="3431">
        <v>1460</v>
      </c>
      <c r="D381" s="3431">
        <v>1430</v>
      </c>
      <c r="E381" s="3431">
        <v>1390</v>
      </c>
      <c r="F381" s="3431">
        <v>450</v>
      </c>
      <c r="G381" s="3443">
        <v>900</v>
      </c>
      <c r="H381" s="3444"/>
    </row>
    <row r="382" spans="1:8">
      <c r="A382" s="3451" t="s">
        <v>2767</v>
      </c>
      <c r="B382" s="3431" t="s">
        <v>3027</v>
      </c>
      <c r="C382" s="3431">
        <v>1310</v>
      </c>
      <c r="D382" s="3431">
        <v>1280</v>
      </c>
      <c r="E382" s="3431">
        <v>1250</v>
      </c>
      <c r="F382" s="3431">
        <v>440</v>
      </c>
      <c r="G382" s="3443">
        <v>800</v>
      </c>
      <c r="H382" s="3444"/>
    </row>
    <row r="383" spans="1:8">
      <c r="A383" s="3451" t="s">
        <v>2767</v>
      </c>
      <c r="B383" s="3431" t="s">
        <v>3028</v>
      </c>
      <c r="C383" s="3431">
        <v>1260</v>
      </c>
      <c r="D383" s="3431">
        <v>1230</v>
      </c>
      <c r="E383" s="3431">
        <v>1200</v>
      </c>
      <c r="F383" s="3431">
        <v>420</v>
      </c>
      <c r="G383" s="3443">
        <v>770</v>
      </c>
      <c r="H383" s="3444"/>
    </row>
    <row r="384" spans="1:8" ht="15" thickBot="1">
      <c r="A384" s="3452" t="s">
        <v>2767</v>
      </c>
      <c r="B384" s="3446" t="s">
        <v>3029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7" spans="1:4" ht="52.2">
      <c r="A7" s="1582" t="s">
        <v>2029</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17.399999999999999">
      <c r="A21" s="1578" t="s">
        <v>1592</v>
      </c>
    </row>
    <row r="22" spans="1:1" ht="52.2">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本次估价对象为出让国有建设用地使用权，《国有土地使用证》[]证载土地终止日期为工业2047年10月27日。截至估价期日，出让国有建设用地使用权剩余土地使用年限为。</v>
      </c>
    </row>
    <row r="23" spans="1:1" ht="17.399999999999999">
      <c r="A23" s="1578" t="str">
        <f>IF(项目基本情况!A17="出让","本次评估设定估价对象剩余土地使用年限为"&amp;项目基本情况!D20&amp;"。","")</f>
        <v>本次评估设定估价对象剩余土地使用年限为。</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26" spans="1:1" ht="17.399999999999999">
      <c r="A26" s="1578" t="str">
        <f>IF(项目基本情况!B9="市场价格","——",IF(项目基本情况!E8="抵押价格",定义!C54,IF(项目基本情况!E8="已注销",定义!C55,定义!C56)))</f>
        <v>——</v>
      </c>
    </row>
    <row r="27" spans="1:1" ht="17.399999999999999">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8" t="str">
        <f>IF(项目基本情况!B9="市场价格","——",IF(项目基本情况!E9="——","",定义!C57))</f>
        <v>——</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5" t="s">
        <v>3192</v>
      </c>
      <c r="B1" s="3985"/>
      <c r="C1" s="3985"/>
      <c r="D1" s="3985"/>
      <c r="E1" s="3985"/>
      <c r="F1" s="3986"/>
    </row>
    <row r="2" spans="1:6">
      <c r="A2" s="3498" t="s">
        <v>3193</v>
      </c>
      <c r="B2" s="3499"/>
      <c r="C2" s="3499"/>
      <c r="D2" s="3499"/>
      <c r="E2" s="3499"/>
      <c r="F2" s="3499"/>
    </row>
    <row r="3" spans="1:6">
      <c r="A3" s="3498" t="s">
        <v>3194</v>
      </c>
      <c r="B3" s="3499"/>
      <c r="C3" s="3499"/>
      <c r="D3" s="3499"/>
      <c r="E3" s="3499"/>
      <c r="F3" s="3500" t="s">
        <v>3195</v>
      </c>
    </row>
    <row r="4" spans="1:6">
      <c r="A4" s="3501" t="s">
        <v>3190</v>
      </c>
      <c r="B4" s="3501" t="s">
        <v>2742</v>
      </c>
      <c r="C4" s="3501" t="s">
        <v>1212</v>
      </c>
      <c r="D4" s="3501" t="s">
        <v>3191</v>
      </c>
      <c r="E4" s="3501" t="s">
        <v>905</v>
      </c>
      <c r="F4" s="3501" t="s">
        <v>3196</v>
      </c>
    </row>
    <row r="5" spans="1:6">
      <c r="A5" s="3502" t="s">
        <v>2765</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2766</v>
      </c>
      <c r="B16" s="3504">
        <v>2230</v>
      </c>
      <c r="C16" s="3504">
        <v>2200</v>
      </c>
      <c r="D16" s="3504">
        <v>2180</v>
      </c>
      <c r="E16" s="3504">
        <v>570</v>
      </c>
      <c r="F16" s="3504">
        <v>1330</v>
      </c>
    </row>
    <row r="17" spans="1:6">
      <c r="A17" s="3502" t="s">
        <v>2767</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8"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8"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8"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8"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8"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87" t="s">
        <v>3030</v>
      </c>
      <c r="B1" s="3987"/>
    </row>
    <row r="2" spans="1:7" ht="15" thickBot="1">
      <c r="A2" s="3463"/>
      <c r="B2" s="3463"/>
    </row>
    <row r="3" spans="1:7" ht="15" thickBot="1">
      <c r="A3" s="3463"/>
      <c r="B3" s="3463"/>
      <c r="C3" s="3464" t="s">
        <v>3031</v>
      </c>
      <c r="D3" s="3464" t="s">
        <v>3032</v>
      </c>
      <c r="E3" s="3464" t="s">
        <v>3033</v>
      </c>
      <c r="F3" s="3464" t="s">
        <v>3034</v>
      </c>
      <c r="G3" s="3464" t="s">
        <v>3035</v>
      </c>
    </row>
    <row r="4" spans="1:7" ht="15" thickBot="1">
      <c r="A4" s="3465" t="s">
        <v>3036</v>
      </c>
      <c r="B4" s="3466" t="s">
        <v>3037</v>
      </c>
      <c r="C4" s="3464"/>
      <c r="D4" s="3464"/>
      <c r="E4" s="3464"/>
      <c r="F4" s="3464"/>
      <c r="G4" s="3464"/>
    </row>
    <row r="5" spans="1:7">
      <c r="A5" s="3467" t="s">
        <v>3038</v>
      </c>
      <c r="B5" s="3468" t="s">
        <v>3039</v>
      </c>
      <c r="C5" s="3469">
        <v>9.8000000000000004E-2</v>
      </c>
      <c r="D5" s="3469">
        <v>8.6999999999999994E-2</v>
      </c>
      <c r="E5" s="3469">
        <v>8.6999999999999994E-2</v>
      </c>
      <c r="F5" s="3469">
        <v>9.8000000000000004E-2</v>
      </c>
      <c r="G5" s="3470">
        <v>9.5000000000000001E-2</v>
      </c>
    </row>
    <row r="6" spans="1:7">
      <c r="A6" s="3471" t="s">
        <v>990</v>
      </c>
      <c r="B6" s="3472" t="s">
        <v>3040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3041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2828</v>
      </c>
      <c r="C29" s="3481"/>
      <c r="D29" s="3477">
        <v>5.1999999999999998E-2</v>
      </c>
      <c r="E29" s="3477">
        <v>7.0000000000000007E-2</v>
      </c>
      <c r="F29" s="3481"/>
      <c r="G29" s="3479">
        <v>7.0999999999999994E-2</v>
      </c>
    </row>
    <row r="30" spans="1:7">
      <c r="A30" s="3482" t="s">
        <v>1145</v>
      </c>
      <c r="B30" s="3468" t="s">
        <v>3043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2830</v>
      </c>
      <c r="C50" s="3473">
        <v>9.8000000000000004E-2</v>
      </c>
      <c r="D50" s="3473">
        <v>7.2999999999999995E-2</v>
      </c>
      <c r="E50" s="3473">
        <v>7.0999999999999994E-2</v>
      </c>
      <c r="F50" s="3484"/>
      <c r="G50" s="3474">
        <v>7.2999999999999995E-2</v>
      </c>
    </row>
    <row r="51" spans="1:7">
      <c r="A51" s="3483" t="s">
        <v>1145</v>
      </c>
      <c r="B51" s="3472" t="s">
        <v>2831</v>
      </c>
      <c r="C51" s="3473">
        <v>9.9000000000000005E-2</v>
      </c>
      <c r="D51" s="3473">
        <v>8.5000000000000006E-2</v>
      </c>
      <c r="E51" s="3473">
        <v>6.3E-2</v>
      </c>
      <c r="F51" s="3484"/>
      <c r="G51" s="3474">
        <v>9.6000000000000002E-2</v>
      </c>
    </row>
    <row r="52" spans="1:7">
      <c r="A52" s="3483" t="s">
        <v>1145</v>
      </c>
      <c r="B52" s="3472" t="s">
        <v>2832</v>
      </c>
      <c r="C52" s="3473">
        <v>7.3999999999999996E-2</v>
      </c>
      <c r="D52" s="3473">
        <v>9.6000000000000002E-2</v>
      </c>
      <c r="E52" s="3473">
        <v>0.05</v>
      </c>
      <c r="F52" s="3484"/>
      <c r="G52" s="3474">
        <v>9.8000000000000004E-2</v>
      </c>
    </row>
    <row r="53" spans="1:7">
      <c r="A53" s="3483" t="s">
        <v>1145</v>
      </c>
      <c r="B53" s="3472" t="s">
        <v>2833</v>
      </c>
      <c r="C53" s="3473">
        <v>8.5999999999999993E-2</v>
      </c>
      <c r="D53" s="3484"/>
      <c r="E53" s="3473">
        <v>9.1999999999999998E-2</v>
      </c>
      <c r="F53" s="3484"/>
      <c r="G53" s="3485"/>
    </row>
    <row r="54" spans="1:7" ht="15" thickBot="1">
      <c r="A54" s="3486" t="s">
        <v>1145</v>
      </c>
      <c r="B54" s="3476" t="s">
        <v>2834</v>
      </c>
      <c r="C54" s="3477">
        <v>9.6000000000000002E-2</v>
      </c>
      <c r="D54" s="3478"/>
      <c r="E54" s="3487"/>
      <c r="F54" s="3478"/>
      <c r="G54" s="3488"/>
    </row>
    <row r="55" spans="1:7">
      <c r="A55" s="3482" t="s">
        <v>853</v>
      </c>
      <c r="B55" s="3468" t="s">
        <v>3045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2836</v>
      </c>
      <c r="C78" s="3473">
        <v>0.1</v>
      </c>
      <c r="D78" s="3473">
        <v>8.5000000000000006E-2</v>
      </c>
      <c r="E78" s="3473">
        <v>9.6000000000000002E-2</v>
      </c>
      <c r="F78" s="3484"/>
      <c r="G78" s="3474">
        <v>9.6000000000000002E-2</v>
      </c>
    </row>
    <row r="79" spans="1:7">
      <c r="A79" s="3483" t="s">
        <v>853</v>
      </c>
      <c r="B79" s="3472" t="s">
        <v>2837</v>
      </c>
      <c r="C79" s="3473">
        <v>0.05</v>
      </c>
      <c r="D79" s="3473">
        <v>9.6000000000000002E-2</v>
      </c>
      <c r="E79" s="3473">
        <v>9.5000000000000001E-2</v>
      </c>
      <c r="F79" s="3484"/>
      <c r="G79" s="3474">
        <v>9.8000000000000004E-2</v>
      </c>
    </row>
    <row r="80" spans="1:7">
      <c r="A80" s="3483" t="s">
        <v>853</v>
      </c>
      <c r="B80" s="3472" t="s">
        <v>2838</v>
      </c>
      <c r="C80" s="3473">
        <v>8.5999999999999993E-2</v>
      </c>
      <c r="D80" s="3489"/>
      <c r="E80" s="3473">
        <v>0.1</v>
      </c>
      <c r="F80" s="3484"/>
      <c r="G80" s="3485"/>
    </row>
    <row r="81" spans="1:7">
      <c r="A81" s="3483" t="s">
        <v>853</v>
      </c>
      <c r="B81" s="3472" t="s">
        <v>2839</v>
      </c>
      <c r="C81" s="3473">
        <v>9.6000000000000002E-2</v>
      </c>
      <c r="D81" s="3484"/>
      <c r="E81" s="3473">
        <v>9.8000000000000004E-2</v>
      </c>
      <c r="F81" s="3484"/>
      <c r="G81" s="3485"/>
    </row>
    <row r="82" spans="1:7">
      <c r="A82" s="3483" t="s">
        <v>853</v>
      </c>
      <c r="B82" s="3472" t="s">
        <v>2840</v>
      </c>
      <c r="C82" s="3489"/>
      <c r="D82" s="3484"/>
      <c r="E82" s="3473">
        <v>7.6999999999999999E-2</v>
      </c>
      <c r="F82" s="3484"/>
      <c r="G82" s="3485"/>
    </row>
    <row r="83" spans="1:7">
      <c r="A83" s="3483" t="s">
        <v>853</v>
      </c>
      <c r="B83" s="3472" t="s">
        <v>3046</v>
      </c>
      <c r="C83" s="3484"/>
      <c r="D83" s="3484"/>
      <c r="E83" s="3484"/>
      <c r="F83" s="3473">
        <v>0.1</v>
      </c>
      <c r="G83" s="3490"/>
    </row>
    <row r="84" spans="1:7">
      <c r="A84" s="3483" t="s">
        <v>853</v>
      </c>
      <c r="B84" s="3472" t="s">
        <v>3047</v>
      </c>
      <c r="C84" s="3484"/>
      <c r="D84" s="3484"/>
      <c r="E84" s="3484"/>
      <c r="F84" s="3473">
        <v>0.1</v>
      </c>
      <c r="G84" s="3490"/>
    </row>
    <row r="85" spans="1:7">
      <c r="A85" s="3483" t="s">
        <v>853</v>
      </c>
      <c r="B85" s="3472" t="s">
        <v>3048</v>
      </c>
      <c r="C85" s="3484"/>
      <c r="D85" s="3484"/>
      <c r="E85" s="3484"/>
      <c r="F85" s="3473">
        <v>0.1</v>
      </c>
      <c r="G85" s="3490"/>
    </row>
    <row r="86" spans="1:7" ht="15" thickBot="1">
      <c r="A86" s="3486" t="s">
        <v>853</v>
      </c>
      <c r="B86" s="3476" t="s">
        <v>3049</v>
      </c>
      <c r="C86" s="3477">
        <v>9.8000000000000004E-2</v>
      </c>
      <c r="D86" s="3477">
        <v>9.8000000000000004E-2</v>
      </c>
      <c r="E86" s="3477">
        <v>9.6000000000000002E-2</v>
      </c>
      <c r="F86" s="3487"/>
      <c r="G86" s="3479">
        <v>0.1</v>
      </c>
    </row>
    <row r="87" spans="1:7">
      <c r="A87" s="3482" t="s">
        <v>1152</v>
      </c>
      <c r="B87" s="3468" t="s">
        <v>3050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2846</v>
      </c>
      <c r="C113" s="3473">
        <v>0.1</v>
      </c>
      <c r="D113" s="3473">
        <v>0.1</v>
      </c>
      <c r="E113" s="3484"/>
      <c r="F113" s="3484"/>
      <c r="G113" s="3474">
        <v>0.1</v>
      </c>
    </row>
    <row r="114" spans="1:7">
      <c r="A114" s="3483" t="s">
        <v>1152</v>
      </c>
      <c r="B114" s="3472" t="s">
        <v>2847</v>
      </c>
      <c r="C114" s="3473">
        <v>9.7000000000000003E-2</v>
      </c>
      <c r="D114" s="3473">
        <v>9.7000000000000003E-2</v>
      </c>
      <c r="E114" s="3484"/>
      <c r="F114" s="3484"/>
      <c r="G114" s="3474">
        <v>9.9000000000000005E-2</v>
      </c>
    </row>
    <row r="115" spans="1:7">
      <c r="A115" s="3483" t="s">
        <v>1152</v>
      </c>
      <c r="B115" s="3472" t="s">
        <v>2848</v>
      </c>
      <c r="C115" s="3473">
        <v>0.1</v>
      </c>
      <c r="D115" s="3473">
        <v>0.1</v>
      </c>
      <c r="E115" s="3484"/>
      <c r="F115" s="3484"/>
      <c r="G115" s="3474">
        <v>0.1</v>
      </c>
    </row>
    <row r="116" spans="1:7">
      <c r="A116" s="3483" t="s">
        <v>1152</v>
      </c>
      <c r="B116" s="3472" t="s">
        <v>2849</v>
      </c>
      <c r="C116" s="3473">
        <v>0.1</v>
      </c>
      <c r="D116" s="3473">
        <v>0.1</v>
      </c>
      <c r="E116" s="3484"/>
      <c r="F116" s="3484"/>
      <c r="G116" s="3474">
        <v>0.1</v>
      </c>
    </row>
    <row r="117" spans="1:7">
      <c r="A117" s="3483" t="s">
        <v>1152</v>
      </c>
      <c r="B117" s="3472" t="s">
        <v>2850</v>
      </c>
      <c r="C117" s="3473">
        <v>9.7000000000000003E-2</v>
      </c>
      <c r="D117" s="3473">
        <v>9.7000000000000003E-2</v>
      </c>
      <c r="E117" s="3484"/>
      <c r="F117" s="3484"/>
      <c r="G117" s="3474">
        <v>9.7000000000000003E-2</v>
      </c>
    </row>
    <row r="118" spans="1:7">
      <c r="A118" s="3483" t="s">
        <v>1152</v>
      </c>
      <c r="B118" s="3472" t="s">
        <v>2851</v>
      </c>
      <c r="C118" s="3473">
        <v>0.1</v>
      </c>
      <c r="D118" s="3473">
        <v>0.1</v>
      </c>
      <c r="E118" s="3484"/>
      <c r="F118" s="3484"/>
      <c r="G118" s="3474">
        <v>0.1</v>
      </c>
    </row>
    <row r="119" spans="1:7">
      <c r="A119" s="3483" t="s">
        <v>1152</v>
      </c>
      <c r="B119" s="3472" t="s">
        <v>2852</v>
      </c>
      <c r="C119" s="3473">
        <v>5.0999999999999997E-2</v>
      </c>
      <c r="D119" s="3473">
        <v>5.1999999999999998E-2</v>
      </c>
      <c r="E119" s="3484"/>
      <c r="F119" s="3489"/>
      <c r="G119" s="3474">
        <v>0.06</v>
      </c>
    </row>
    <row r="120" spans="1:7">
      <c r="A120" s="3483" t="s">
        <v>1152</v>
      </c>
      <c r="B120" s="3472" t="s">
        <v>3051</v>
      </c>
      <c r="C120" s="3484"/>
      <c r="D120" s="3484"/>
      <c r="E120" s="3484"/>
      <c r="F120" s="3473">
        <v>0.1</v>
      </c>
      <c r="G120" s="3490"/>
    </row>
    <row r="121" spans="1:7">
      <c r="A121" s="3483" t="s">
        <v>1152</v>
      </c>
      <c r="B121" s="3472" t="s">
        <v>3052</v>
      </c>
      <c r="C121" s="3484"/>
      <c r="D121" s="3484"/>
      <c r="E121" s="3484"/>
      <c r="F121" s="3473">
        <v>0.1</v>
      </c>
      <c r="G121" s="3490"/>
    </row>
    <row r="122" spans="1:7">
      <c r="A122" s="3483" t="s">
        <v>1152</v>
      </c>
      <c r="B122" s="3472" t="s">
        <v>3053</v>
      </c>
      <c r="C122" s="3473">
        <v>0.1</v>
      </c>
      <c r="D122" s="3473">
        <v>0.1</v>
      </c>
      <c r="E122" s="3473">
        <v>9.8000000000000004E-2</v>
      </c>
      <c r="F122" s="3473">
        <v>0.1</v>
      </c>
      <c r="G122" s="3474">
        <v>0.1</v>
      </c>
    </row>
    <row r="123" spans="1:7">
      <c r="A123" s="3483" t="s">
        <v>1152</v>
      </c>
      <c r="B123" s="3472" t="s">
        <v>2856</v>
      </c>
      <c r="C123" s="3473">
        <v>0.1</v>
      </c>
      <c r="D123" s="3473">
        <v>0.1</v>
      </c>
      <c r="E123" s="3473">
        <v>9.8000000000000004E-2</v>
      </c>
      <c r="F123" s="3473">
        <v>0.1</v>
      </c>
      <c r="G123" s="3474">
        <v>0.1</v>
      </c>
    </row>
    <row r="124" spans="1:7">
      <c r="A124" s="3483" t="s">
        <v>1152</v>
      </c>
      <c r="B124" s="3472" t="s">
        <v>2857</v>
      </c>
      <c r="C124" s="3473">
        <v>0.1</v>
      </c>
      <c r="D124" s="3473">
        <v>0.1</v>
      </c>
      <c r="E124" s="3473">
        <v>9.8000000000000004E-2</v>
      </c>
      <c r="F124" s="3489"/>
      <c r="G124" s="3474">
        <v>0.1</v>
      </c>
    </row>
    <row r="125" spans="1:7">
      <c r="A125" s="3483" t="s">
        <v>1152</v>
      </c>
      <c r="B125" s="3472" t="s">
        <v>2858</v>
      </c>
      <c r="C125" s="3473">
        <v>9.8000000000000004E-2</v>
      </c>
      <c r="D125" s="3473">
        <v>9.8000000000000004E-2</v>
      </c>
      <c r="E125" s="3473">
        <v>9.6000000000000002E-2</v>
      </c>
      <c r="F125" s="3489"/>
      <c r="G125" s="3474">
        <v>0.1</v>
      </c>
    </row>
    <row r="126" spans="1:7" ht="15" thickBot="1">
      <c r="A126" s="3486" t="s">
        <v>1152</v>
      </c>
      <c r="B126" s="3476" t="s">
        <v>3054</v>
      </c>
      <c r="C126" s="3477">
        <v>0.1</v>
      </c>
      <c r="D126" s="3477">
        <v>0.1</v>
      </c>
      <c r="E126" s="3477">
        <v>9.8000000000000004E-2</v>
      </c>
      <c r="F126" s="3477">
        <v>0.1</v>
      </c>
      <c r="G126" s="3479">
        <v>0.1</v>
      </c>
    </row>
    <row r="127" spans="1:7">
      <c r="A127" s="3482" t="s">
        <v>1153</v>
      </c>
      <c r="B127" s="3468" t="s">
        <v>3055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3056</v>
      </c>
      <c r="C148" s="3473">
        <v>0.13</v>
      </c>
      <c r="D148" s="3473">
        <v>0.13</v>
      </c>
      <c r="E148" s="3473">
        <v>0.13</v>
      </c>
      <c r="F148" s="3484"/>
      <c r="G148" s="3474">
        <v>0.13</v>
      </c>
    </row>
    <row r="149" spans="1:7">
      <c r="A149" s="3483" t="s">
        <v>1153</v>
      </c>
      <c r="B149" s="3472" t="s">
        <v>3057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2863</v>
      </c>
      <c r="C153" s="3473">
        <v>0.13</v>
      </c>
      <c r="D153" s="3473">
        <v>0.13</v>
      </c>
      <c r="E153" s="3473">
        <v>0.13</v>
      </c>
      <c r="F153" s="3473">
        <v>0.13</v>
      </c>
      <c r="G153" s="3474">
        <v>0.13</v>
      </c>
    </row>
    <row r="154" spans="1:7">
      <c r="A154" s="3483" t="s">
        <v>1153</v>
      </c>
      <c r="B154" s="3472" t="s">
        <v>3058</v>
      </c>
      <c r="C154" s="3473">
        <v>0.121</v>
      </c>
      <c r="D154" s="3473">
        <v>0.121</v>
      </c>
      <c r="E154" s="3473">
        <v>0.105</v>
      </c>
      <c r="F154" s="3473">
        <v>0.121</v>
      </c>
      <c r="G154" s="3474">
        <v>0.123</v>
      </c>
    </row>
    <row r="155" spans="1:7">
      <c r="A155" s="3483" t="s">
        <v>1153</v>
      </c>
      <c r="B155" s="3472" t="s">
        <v>2865</v>
      </c>
      <c r="C155" s="3473">
        <v>0.1</v>
      </c>
      <c r="D155" s="3473">
        <v>0.1</v>
      </c>
      <c r="E155" s="3473">
        <v>0.1</v>
      </c>
      <c r="F155" s="3473">
        <v>0.1</v>
      </c>
      <c r="G155" s="3474">
        <v>0.1</v>
      </c>
    </row>
    <row r="156" spans="1:7">
      <c r="A156" s="3483" t="s">
        <v>1153</v>
      </c>
      <c r="B156" s="3472" t="s">
        <v>3059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3060</v>
      </c>
      <c r="C160" s="3473">
        <v>0.13</v>
      </c>
      <c r="D160" s="3473">
        <v>0.13</v>
      </c>
      <c r="E160" s="3473">
        <v>0.124</v>
      </c>
      <c r="F160" s="3473">
        <v>0.126</v>
      </c>
      <c r="G160" s="3474">
        <v>0.13</v>
      </c>
    </row>
    <row r="161" spans="1:7">
      <c r="A161" s="3483" t="s">
        <v>1153</v>
      </c>
      <c r="B161" s="3472" t="s">
        <v>2868</v>
      </c>
      <c r="C161" s="3473">
        <v>0.13</v>
      </c>
      <c r="D161" s="3473">
        <v>0.13</v>
      </c>
      <c r="E161" s="3473">
        <v>0.124</v>
      </c>
      <c r="F161" s="3473">
        <v>0.127</v>
      </c>
      <c r="G161" s="3474">
        <v>0.13</v>
      </c>
    </row>
    <row r="162" spans="1:7">
      <c r="A162" s="3483" t="s">
        <v>1153</v>
      </c>
      <c r="B162" s="3472" t="s">
        <v>2869</v>
      </c>
      <c r="C162" s="3473">
        <v>0.1</v>
      </c>
      <c r="D162" s="3473">
        <v>0.1</v>
      </c>
      <c r="E162" s="3473">
        <v>0.1</v>
      </c>
      <c r="F162" s="3473">
        <v>0.121</v>
      </c>
      <c r="G162" s="3474">
        <v>0.105</v>
      </c>
    </row>
    <row r="163" spans="1:7">
      <c r="A163" s="3483" t="s">
        <v>1153</v>
      </c>
      <c r="B163" s="3472" t="s">
        <v>2870</v>
      </c>
      <c r="C163" s="3473">
        <v>0.1</v>
      </c>
      <c r="D163" s="3473">
        <v>0.1</v>
      </c>
      <c r="E163" s="3473">
        <v>0.1</v>
      </c>
      <c r="F163" s="3473">
        <v>0.1</v>
      </c>
      <c r="G163" s="3474">
        <v>0.1</v>
      </c>
    </row>
    <row r="164" spans="1:7">
      <c r="A164" s="3483" t="s">
        <v>1153</v>
      </c>
      <c r="B164" s="3472" t="s">
        <v>2871</v>
      </c>
      <c r="C164" s="3489"/>
      <c r="D164" s="3489"/>
      <c r="E164" s="3489"/>
      <c r="F164" s="3473">
        <v>0.1</v>
      </c>
      <c r="G164" s="3485"/>
    </row>
    <row r="165" spans="1:7">
      <c r="A165" s="3483" t="s">
        <v>1153</v>
      </c>
      <c r="B165" s="3472" t="s">
        <v>3061</v>
      </c>
      <c r="C165" s="3473">
        <v>0.126</v>
      </c>
      <c r="D165" s="3473">
        <v>0.126</v>
      </c>
      <c r="E165" s="3473">
        <v>0.11899999999999999</v>
      </c>
      <c r="F165" s="3473">
        <v>0.13</v>
      </c>
      <c r="G165" s="3474">
        <v>0.128</v>
      </c>
    </row>
    <row r="166" spans="1:7">
      <c r="A166" s="3483" t="s">
        <v>1153</v>
      </c>
      <c r="B166" s="3472" t="s">
        <v>2873</v>
      </c>
      <c r="C166" s="3473">
        <v>0.129</v>
      </c>
      <c r="D166" s="3473">
        <v>0.129</v>
      </c>
      <c r="E166" s="3473">
        <v>0.123</v>
      </c>
      <c r="F166" s="3473">
        <v>0.128</v>
      </c>
      <c r="G166" s="3474">
        <v>0.13</v>
      </c>
    </row>
    <row r="167" spans="1:7">
      <c r="A167" s="3483" t="s">
        <v>1153</v>
      </c>
      <c r="B167" s="3472" t="s">
        <v>2874</v>
      </c>
      <c r="C167" s="3473">
        <v>0.125</v>
      </c>
      <c r="D167" s="3473">
        <v>0.125</v>
      </c>
      <c r="E167" s="3473">
        <v>0.11700000000000001</v>
      </c>
      <c r="F167" s="3473">
        <v>0.13</v>
      </c>
      <c r="G167" s="3474">
        <v>0.126</v>
      </c>
    </row>
    <row r="168" spans="1:7">
      <c r="A168" s="3483" t="s">
        <v>1153</v>
      </c>
      <c r="B168" s="3472" t="s">
        <v>2875</v>
      </c>
      <c r="C168" s="3473">
        <v>0.128</v>
      </c>
      <c r="D168" s="3473">
        <v>0.128</v>
      </c>
      <c r="E168" s="3473">
        <v>0.123</v>
      </c>
      <c r="F168" s="3484"/>
      <c r="G168" s="3474">
        <v>0.13</v>
      </c>
    </row>
    <row r="169" spans="1:7">
      <c r="A169" s="3483" t="s">
        <v>1153</v>
      </c>
      <c r="B169" s="3472" t="s">
        <v>3062</v>
      </c>
      <c r="C169" s="3489"/>
      <c r="D169" s="3489"/>
      <c r="E169" s="3489"/>
      <c r="F169" s="3473">
        <v>0.05</v>
      </c>
      <c r="G169" s="3485"/>
    </row>
    <row r="170" spans="1:7">
      <c r="A170" s="3483" t="s">
        <v>1153</v>
      </c>
      <c r="B170" s="3472" t="s">
        <v>3063</v>
      </c>
      <c r="C170" s="3489"/>
      <c r="D170" s="3489"/>
      <c r="E170" s="3489"/>
      <c r="F170" s="3473">
        <v>0.05</v>
      </c>
      <c r="G170" s="3485"/>
    </row>
    <row r="171" spans="1:7">
      <c r="A171" s="3483" t="s">
        <v>1153</v>
      </c>
      <c r="B171" s="3472" t="s">
        <v>3064</v>
      </c>
      <c r="C171" s="3489"/>
      <c r="D171" s="3489"/>
      <c r="E171" s="3489"/>
      <c r="F171" s="3473">
        <v>0.05</v>
      </c>
      <c r="G171" s="3490"/>
    </row>
    <row r="172" spans="1:7">
      <c r="A172" s="3483" t="s">
        <v>1153</v>
      </c>
      <c r="B172" s="3472" t="s">
        <v>3065</v>
      </c>
      <c r="C172" s="3489"/>
      <c r="D172" s="3489"/>
      <c r="E172" s="3489"/>
      <c r="F172" s="3473">
        <v>0.05</v>
      </c>
      <c r="G172" s="3490"/>
    </row>
    <row r="173" spans="1:7">
      <c r="A173" s="3483" t="s">
        <v>1153</v>
      </c>
      <c r="B173" s="3472" t="s">
        <v>3066</v>
      </c>
      <c r="C173" s="3489"/>
      <c r="D173" s="3489"/>
      <c r="E173" s="3489"/>
      <c r="F173" s="3473">
        <v>0.05</v>
      </c>
      <c r="G173" s="3485"/>
    </row>
    <row r="174" spans="1:7">
      <c r="A174" s="3483" t="s">
        <v>1153</v>
      </c>
      <c r="B174" s="3472" t="s">
        <v>3067</v>
      </c>
      <c r="C174" s="3489"/>
      <c r="D174" s="3489"/>
      <c r="E174" s="3489"/>
      <c r="F174" s="3473">
        <v>0.05</v>
      </c>
      <c r="G174" s="3485"/>
    </row>
    <row r="175" spans="1:7">
      <c r="A175" s="3483" t="s">
        <v>1153</v>
      </c>
      <c r="B175" s="3472" t="s">
        <v>3068</v>
      </c>
      <c r="C175" s="3489"/>
      <c r="D175" s="3489"/>
      <c r="E175" s="3489"/>
      <c r="F175" s="3473">
        <v>0.05</v>
      </c>
      <c r="G175" s="3485"/>
    </row>
    <row r="176" spans="1:7">
      <c r="A176" s="3483" t="s">
        <v>1153</v>
      </c>
      <c r="B176" s="3472" t="s">
        <v>3069</v>
      </c>
      <c r="C176" s="3489"/>
      <c r="D176" s="3489"/>
      <c r="E176" s="3489"/>
      <c r="F176" s="3473">
        <v>0.05</v>
      </c>
      <c r="G176" s="3485"/>
    </row>
    <row r="177" spans="1:7">
      <c r="A177" s="3483" t="s">
        <v>1153</v>
      </c>
      <c r="B177" s="3472" t="s">
        <v>3070</v>
      </c>
      <c r="C177" s="3484"/>
      <c r="D177" s="3484"/>
      <c r="E177" s="3484"/>
      <c r="F177" s="3473">
        <v>0.05</v>
      </c>
      <c r="G177" s="3490"/>
    </row>
    <row r="178" spans="1:7">
      <c r="A178" s="3483" t="s">
        <v>1153</v>
      </c>
      <c r="B178" s="3472" t="s">
        <v>3071</v>
      </c>
      <c r="C178" s="3484"/>
      <c r="D178" s="3484"/>
      <c r="E178" s="3484"/>
      <c r="F178" s="3473">
        <v>0.05</v>
      </c>
      <c r="G178" s="3490"/>
    </row>
    <row r="179" spans="1:7">
      <c r="A179" s="3483" t="s">
        <v>1153</v>
      </c>
      <c r="B179" s="3472" t="s">
        <v>3072</v>
      </c>
      <c r="C179" s="3484"/>
      <c r="D179" s="3484"/>
      <c r="E179" s="3484"/>
      <c r="F179" s="3473">
        <v>0.05</v>
      </c>
      <c r="G179" s="3490"/>
    </row>
    <row r="180" spans="1:7">
      <c r="A180" s="3483" t="s">
        <v>1153</v>
      </c>
      <c r="B180" s="3472" t="s">
        <v>3073</v>
      </c>
      <c r="C180" s="3484"/>
      <c r="D180" s="3484"/>
      <c r="E180" s="3484"/>
      <c r="F180" s="3473">
        <v>0.05</v>
      </c>
      <c r="G180" s="3490"/>
    </row>
    <row r="181" spans="1:7">
      <c r="A181" s="3483" t="s">
        <v>1153</v>
      </c>
      <c r="B181" s="3472" t="s">
        <v>3074</v>
      </c>
      <c r="C181" s="3484"/>
      <c r="D181" s="3484"/>
      <c r="E181" s="3484"/>
      <c r="F181" s="3473">
        <v>0.05</v>
      </c>
      <c r="G181" s="3490"/>
    </row>
    <row r="182" spans="1:7">
      <c r="A182" s="3483" t="s">
        <v>1153</v>
      </c>
      <c r="B182" s="3472" t="s">
        <v>3075</v>
      </c>
      <c r="C182" s="3484"/>
      <c r="D182" s="3484"/>
      <c r="E182" s="3484"/>
      <c r="F182" s="3473">
        <v>0.05</v>
      </c>
      <c r="G182" s="3490"/>
    </row>
    <row r="183" spans="1:7">
      <c r="A183" s="3483" t="s">
        <v>1153</v>
      </c>
      <c r="B183" s="3472" t="s">
        <v>3076</v>
      </c>
      <c r="C183" s="3484"/>
      <c r="D183" s="3484"/>
      <c r="E183" s="3484"/>
      <c r="F183" s="3473">
        <v>0.05</v>
      </c>
      <c r="G183" s="3490"/>
    </row>
    <row r="184" spans="1:7">
      <c r="A184" s="3483" t="s">
        <v>1153</v>
      </c>
      <c r="B184" s="3472" t="s">
        <v>3077</v>
      </c>
      <c r="C184" s="3484"/>
      <c r="D184" s="3484"/>
      <c r="E184" s="3484"/>
      <c r="F184" s="3473">
        <v>0.05</v>
      </c>
      <c r="G184" s="3490"/>
    </row>
    <row r="185" spans="1:7">
      <c r="A185" s="3483" t="s">
        <v>1153</v>
      </c>
      <c r="B185" s="3472" t="s">
        <v>3078</v>
      </c>
      <c r="C185" s="3484"/>
      <c r="D185" s="3484"/>
      <c r="E185" s="3484"/>
      <c r="F185" s="3473">
        <v>0.05</v>
      </c>
      <c r="G185" s="3490"/>
    </row>
    <row r="186" spans="1:7">
      <c r="A186" s="3483" t="s">
        <v>1153</v>
      </c>
      <c r="B186" s="3472" t="s">
        <v>3079</v>
      </c>
      <c r="C186" s="3484"/>
      <c r="D186" s="3484"/>
      <c r="E186" s="3484"/>
      <c r="F186" s="3473">
        <v>0.05</v>
      </c>
      <c r="G186" s="3490"/>
    </row>
    <row r="187" spans="1:7">
      <c r="A187" s="3483" t="s">
        <v>1153</v>
      </c>
      <c r="B187" s="3472" t="s">
        <v>3080</v>
      </c>
      <c r="C187" s="3484"/>
      <c r="D187" s="3484"/>
      <c r="E187" s="3484"/>
      <c r="F187" s="3473">
        <v>0.05</v>
      </c>
      <c r="G187" s="3490"/>
    </row>
    <row r="188" spans="1:7">
      <c r="A188" s="3483" t="s">
        <v>1153</v>
      </c>
      <c r="B188" s="3472" t="s">
        <v>3081</v>
      </c>
      <c r="C188" s="3484"/>
      <c r="D188" s="3484"/>
      <c r="E188" s="3484"/>
      <c r="F188" s="3473">
        <v>0.05</v>
      </c>
      <c r="G188" s="3490"/>
    </row>
    <row r="189" spans="1:7" ht="15" thickBot="1">
      <c r="A189" s="3486" t="s">
        <v>1153</v>
      </c>
      <c r="B189" s="3476" t="s">
        <v>3082</v>
      </c>
      <c r="C189" s="3478"/>
      <c r="D189" s="3478"/>
      <c r="E189" s="3478"/>
      <c r="F189" s="3477">
        <v>0.05</v>
      </c>
      <c r="G189" s="3491"/>
    </row>
    <row r="190" spans="1:7">
      <c r="A190" s="3482" t="s">
        <v>1154</v>
      </c>
      <c r="B190" s="3468" t="s">
        <v>3083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3084</v>
      </c>
      <c r="C199" s="3473">
        <v>0.13</v>
      </c>
      <c r="D199" s="3473">
        <v>0.13</v>
      </c>
      <c r="E199" s="3473">
        <v>0.13</v>
      </c>
      <c r="F199" s="3473">
        <v>0.13</v>
      </c>
      <c r="G199" s="3474">
        <v>0.13</v>
      </c>
    </row>
    <row r="200" spans="1:7">
      <c r="A200" s="3483" t="s">
        <v>1154</v>
      </c>
      <c r="B200" s="3472" t="s">
        <v>2899</v>
      </c>
      <c r="C200" s="3489"/>
      <c r="D200" s="3489"/>
      <c r="E200" s="3489"/>
      <c r="F200" s="3473">
        <v>0.13</v>
      </c>
      <c r="G200" s="3485"/>
    </row>
    <row r="201" spans="1:7">
      <c r="A201" s="3483" t="s">
        <v>1154</v>
      </c>
      <c r="B201" s="3472" t="s">
        <v>3085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3086</v>
      </c>
      <c r="C203" s="3473">
        <v>0.129</v>
      </c>
      <c r="D203" s="3473">
        <v>0.129</v>
      </c>
      <c r="E203" s="3473">
        <v>0.13</v>
      </c>
      <c r="F203" s="3473">
        <v>0.13</v>
      </c>
      <c r="G203" s="3474">
        <v>0.13</v>
      </c>
    </row>
    <row r="204" spans="1:7">
      <c r="A204" s="3483" t="s">
        <v>1154</v>
      </c>
      <c r="B204" s="3472" t="s">
        <v>2902</v>
      </c>
      <c r="C204" s="3473">
        <v>0.129</v>
      </c>
      <c r="D204" s="3473">
        <v>0.129</v>
      </c>
      <c r="E204" s="3473">
        <v>0.123</v>
      </c>
      <c r="F204" s="3473">
        <v>0.13</v>
      </c>
      <c r="G204" s="3474">
        <v>0.13</v>
      </c>
    </row>
    <row r="205" spans="1:7">
      <c r="A205" s="3483" t="s">
        <v>1154</v>
      </c>
      <c r="B205" s="3472" t="s">
        <v>2903</v>
      </c>
      <c r="C205" s="3473">
        <v>0.13</v>
      </c>
      <c r="D205" s="3473">
        <v>0.13</v>
      </c>
      <c r="E205" s="3473">
        <v>0.13</v>
      </c>
      <c r="F205" s="3473">
        <v>0.13</v>
      </c>
      <c r="G205" s="3474">
        <v>0.13</v>
      </c>
    </row>
    <row r="206" spans="1:7">
      <c r="A206" s="3483" t="s">
        <v>1154</v>
      </c>
      <c r="B206" s="3472" t="s">
        <v>2904</v>
      </c>
      <c r="C206" s="3473">
        <v>0.13</v>
      </c>
      <c r="D206" s="3473">
        <v>0.13</v>
      </c>
      <c r="E206" s="3473">
        <v>0.13</v>
      </c>
      <c r="F206" s="3473">
        <v>0.128</v>
      </c>
      <c r="G206" s="3474">
        <v>0.13</v>
      </c>
    </row>
    <row r="207" spans="1:7">
      <c r="A207" s="3483" t="s">
        <v>1154</v>
      </c>
      <c r="B207" s="3472" t="s">
        <v>2905</v>
      </c>
      <c r="C207" s="3473">
        <v>0.13</v>
      </c>
      <c r="D207" s="3473">
        <v>0.13</v>
      </c>
      <c r="E207" s="3473">
        <v>0.13</v>
      </c>
      <c r="F207" s="3473">
        <v>0.13</v>
      </c>
      <c r="G207" s="3474">
        <v>0.13</v>
      </c>
    </row>
    <row r="208" spans="1:7">
      <c r="A208" s="3483" t="s">
        <v>1154</v>
      </c>
      <c r="B208" s="3472" t="s">
        <v>3087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2907</v>
      </c>
      <c r="C210" s="3473">
        <v>0.121</v>
      </c>
      <c r="D210" s="3473">
        <v>0.121</v>
      </c>
      <c r="E210" s="3473">
        <v>0.125</v>
      </c>
      <c r="F210" s="3473">
        <v>0.13</v>
      </c>
      <c r="G210" s="3474">
        <v>0.123</v>
      </c>
    </row>
    <row r="211" spans="1:7">
      <c r="A211" s="3483" t="s">
        <v>1154</v>
      </c>
      <c r="B211" s="3472" t="s">
        <v>3088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3089</v>
      </c>
      <c r="C214" s="3473">
        <v>0.128</v>
      </c>
      <c r="D214" s="3473">
        <v>0.128</v>
      </c>
      <c r="E214" s="3473">
        <v>0.13</v>
      </c>
      <c r="F214" s="3473">
        <v>0.13</v>
      </c>
      <c r="G214" s="3474">
        <v>0.13</v>
      </c>
    </row>
    <row r="215" spans="1:7">
      <c r="A215" s="3483" t="s">
        <v>1154</v>
      </c>
      <c r="B215" s="3472" t="s">
        <v>3090</v>
      </c>
      <c r="C215" s="3473">
        <v>0.13</v>
      </c>
      <c r="D215" s="3473">
        <v>0.13</v>
      </c>
      <c r="E215" s="3473">
        <v>0.13</v>
      </c>
      <c r="F215" s="3473">
        <v>0.129</v>
      </c>
      <c r="G215" s="3474">
        <v>0.13</v>
      </c>
    </row>
    <row r="216" spans="1:7">
      <c r="A216" s="3483" t="s">
        <v>1154</v>
      </c>
      <c r="B216" s="3472" t="s">
        <v>3091</v>
      </c>
      <c r="C216" s="3473">
        <v>0.13</v>
      </c>
      <c r="D216" s="3473">
        <v>0.13</v>
      </c>
      <c r="E216" s="3473">
        <v>0.13</v>
      </c>
      <c r="F216" s="3473">
        <v>0.13</v>
      </c>
      <c r="G216" s="3474">
        <v>0.13</v>
      </c>
    </row>
    <row r="217" spans="1:7">
      <c r="A217" s="3483" t="s">
        <v>1154</v>
      </c>
      <c r="B217" s="3472" t="s">
        <v>2911</v>
      </c>
      <c r="C217" s="3473">
        <v>0.129</v>
      </c>
      <c r="D217" s="3473">
        <v>0.129</v>
      </c>
      <c r="E217" s="3473">
        <v>0.13</v>
      </c>
      <c r="F217" s="3473">
        <v>0.13</v>
      </c>
      <c r="G217" s="3474">
        <v>0.13</v>
      </c>
    </row>
    <row r="218" spans="1:7">
      <c r="A218" s="3483" t="s">
        <v>1154</v>
      </c>
      <c r="B218" s="3472" t="s">
        <v>3092</v>
      </c>
      <c r="C218" s="3484"/>
      <c r="D218" s="3484"/>
      <c r="E218" s="3484"/>
      <c r="F218" s="3473">
        <v>0.05</v>
      </c>
      <c r="G218" s="3490"/>
    </row>
    <row r="219" spans="1:7">
      <c r="A219" s="3483" t="s">
        <v>1154</v>
      </c>
      <c r="B219" s="3472" t="s">
        <v>3093</v>
      </c>
      <c r="C219" s="3484"/>
      <c r="D219" s="3484"/>
      <c r="E219" s="3484"/>
      <c r="F219" s="3473">
        <v>0.05</v>
      </c>
      <c r="G219" s="3490"/>
    </row>
    <row r="220" spans="1:7">
      <c r="A220" s="3483" t="s">
        <v>1154</v>
      </c>
      <c r="B220" s="3472" t="s">
        <v>3094</v>
      </c>
      <c r="C220" s="3484"/>
      <c r="D220" s="3484"/>
      <c r="E220" s="3484"/>
      <c r="F220" s="3473">
        <v>0.05</v>
      </c>
      <c r="G220" s="3490"/>
    </row>
    <row r="221" spans="1:7">
      <c r="A221" s="3483" t="s">
        <v>1154</v>
      </c>
      <c r="B221" s="3472" t="s">
        <v>3095</v>
      </c>
      <c r="C221" s="3484"/>
      <c r="D221" s="3484"/>
      <c r="E221" s="3484"/>
      <c r="F221" s="3473">
        <v>0.05</v>
      </c>
      <c r="G221" s="3490"/>
    </row>
    <row r="222" spans="1:7">
      <c r="A222" s="3483" t="s">
        <v>1154</v>
      </c>
      <c r="B222" s="3472" t="s">
        <v>3096</v>
      </c>
      <c r="C222" s="3484"/>
      <c r="D222" s="3484"/>
      <c r="E222" s="3484"/>
      <c r="F222" s="3473">
        <v>0.05</v>
      </c>
      <c r="G222" s="3490"/>
    </row>
    <row r="223" spans="1:7">
      <c r="A223" s="3483" t="s">
        <v>1154</v>
      </c>
      <c r="B223" s="3472" t="s">
        <v>3097</v>
      </c>
      <c r="C223" s="3484"/>
      <c r="D223" s="3484"/>
      <c r="E223" s="3484"/>
      <c r="F223" s="3473">
        <v>0.05</v>
      </c>
      <c r="G223" s="3490"/>
    </row>
    <row r="224" spans="1:7">
      <c r="A224" s="3483" t="s">
        <v>1154</v>
      </c>
      <c r="B224" s="3472" t="s">
        <v>3098</v>
      </c>
      <c r="C224" s="3484"/>
      <c r="D224" s="3484"/>
      <c r="E224" s="3484"/>
      <c r="F224" s="3473">
        <v>0.05</v>
      </c>
      <c r="G224" s="3490"/>
    </row>
    <row r="225" spans="1:7">
      <c r="A225" s="3483" t="s">
        <v>1154</v>
      </c>
      <c r="B225" s="3472" t="s">
        <v>3099</v>
      </c>
      <c r="C225" s="3484"/>
      <c r="D225" s="3484"/>
      <c r="E225" s="3484"/>
      <c r="F225" s="3473">
        <v>0.05</v>
      </c>
      <c r="G225" s="3490"/>
    </row>
    <row r="226" spans="1:7">
      <c r="A226" s="3483" t="s">
        <v>1154</v>
      </c>
      <c r="B226" s="3472" t="s">
        <v>3100</v>
      </c>
      <c r="C226" s="3484"/>
      <c r="D226" s="3484"/>
      <c r="E226" s="3484"/>
      <c r="F226" s="3473">
        <v>0.05</v>
      </c>
      <c r="G226" s="3490"/>
    </row>
    <row r="227" spans="1:7">
      <c r="A227" s="3483" t="s">
        <v>1154</v>
      </c>
      <c r="B227" s="3472" t="s">
        <v>3101</v>
      </c>
      <c r="C227" s="3484"/>
      <c r="D227" s="3484"/>
      <c r="E227" s="3484"/>
      <c r="F227" s="3473">
        <v>0.05</v>
      </c>
      <c r="G227" s="3490"/>
    </row>
    <row r="228" spans="1:7">
      <c r="A228" s="3483" t="s">
        <v>1154</v>
      </c>
      <c r="B228" s="3472" t="s">
        <v>3102</v>
      </c>
      <c r="C228" s="3484"/>
      <c r="D228" s="3484"/>
      <c r="E228" s="3484"/>
      <c r="F228" s="3473">
        <v>0.05</v>
      </c>
      <c r="G228" s="3490"/>
    </row>
    <row r="229" spans="1:7">
      <c r="A229" s="3483" t="s">
        <v>1154</v>
      </c>
      <c r="B229" s="3472" t="s">
        <v>3103</v>
      </c>
      <c r="C229" s="3484"/>
      <c r="D229" s="3484"/>
      <c r="E229" s="3484"/>
      <c r="F229" s="3473">
        <v>0.05</v>
      </c>
      <c r="G229" s="3490"/>
    </row>
    <row r="230" spans="1:7">
      <c r="A230" s="3483" t="s">
        <v>1154</v>
      </c>
      <c r="B230" s="3472" t="s">
        <v>3104</v>
      </c>
      <c r="C230" s="3484"/>
      <c r="D230" s="3484"/>
      <c r="E230" s="3484"/>
      <c r="F230" s="3473">
        <v>0.05</v>
      </c>
      <c r="G230" s="3490"/>
    </row>
    <row r="231" spans="1:7">
      <c r="A231" s="3483" t="s">
        <v>1154</v>
      </c>
      <c r="B231" s="3472" t="s">
        <v>3105</v>
      </c>
      <c r="C231" s="3484"/>
      <c r="D231" s="3484"/>
      <c r="E231" s="3484"/>
      <c r="F231" s="3473">
        <v>0.05</v>
      </c>
      <c r="G231" s="3490"/>
    </row>
    <row r="232" spans="1:7">
      <c r="A232" s="3483" t="s">
        <v>1154</v>
      </c>
      <c r="B232" s="3472" t="s">
        <v>3106</v>
      </c>
      <c r="C232" s="3484"/>
      <c r="D232" s="3484"/>
      <c r="E232" s="3484"/>
      <c r="F232" s="3473">
        <v>0.05</v>
      </c>
      <c r="G232" s="3490"/>
    </row>
    <row r="233" spans="1:7" ht="15" thickBot="1">
      <c r="A233" s="3486" t="s">
        <v>1154</v>
      </c>
      <c r="B233" s="3476" t="s">
        <v>3107</v>
      </c>
      <c r="C233" s="3478"/>
      <c r="D233" s="3478"/>
      <c r="E233" s="3478"/>
      <c r="F233" s="3477">
        <v>0.05</v>
      </c>
      <c r="G233" s="3491"/>
    </row>
    <row r="234" spans="1:7">
      <c r="A234" s="3482" t="s">
        <v>1155</v>
      </c>
      <c r="B234" s="3468" t="s">
        <v>3108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2929</v>
      </c>
      <c r="C238" s="3473">
        <v>0.14899999999999999</v>
      </c>
      <c r="D238" s="3473">
        <v>0.14899999999999999</v>
      </c>
      <c r="E238" s="3473">
        <v>0.15</v>
      </c>
      <c r="F238" s="3473">
        <v>0.15</v>
      </c>
      <c r="G238" s="3474">
        <v>0.15</v>
      </c>
    </row>
    <row r="239" spans="1:7">
      <c r="A239" s="3483" t="s">
        <v>1155</v>
      </c>
      <c r="B239" s="3472" t="s">
        <v>3109</v>
      </c>
      <c r="C239" s="3473">
        <v>0.15</v>
      </c>
      <c r="D239" s="3473">
        <v>0.15</v>
      </c>
      <c r="E239" s="3473">
        <v>0.15</v>
      </c>
      <c r="F239" s="3473">
        <v>0.15</v>
      </c>
      <c r="G239" s="3474">
        <v>0.15</v>
      </c>
    </row>
    <row r="240" spans="1:7">
      <c r="A240" s="3483" t="s">
        <v>1155</v>
      </c>
      <c r="B240" s="3472" t="s">
        <v>3110</v>
      </c>
      <c r="C240" s="3473">
        <v>0.15</v>
      </c>
      <c r="D240" s="3473">
        <v>0.15</v>
      </c>
      <c r="E240" s="3473">
        <v>0.15</v>
      </c>
      <c r="F240" s="3473">
        <v>0.15</v>
      </c>
      <c r="G240" s="3474">
        <v>0.15</v>
      </c>
    </row>
    <row r="241" spans="1:7">
      <c r="A241" s="3483" t="s">
        <v>1155</v>
      </c>
      <c r="B241" s="3472" t="s">
        <v>3111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2938</v>
      </c>
      <c r="C258" s="3473">
        <v>0.14299999999999999</v>
      </c>
      <c r="D258" s="3473">
        <v>0.14299999999999999</v>
      </c>
      <c r="E258" s="3473">
        <v>0.15</v>
      </c>
      <c r="F258" s="3473">
        <v>0.14799999999999999</v>
      </c>
      <c r="G258" s="3474">
        <v>0.14599999999999999</v>
      </c>
    </row>
    <row r="259" spans="1:7">
      <c r="A259" s="3483" t="s">
        <v>1155</v>
      </c>
      <c r="B259" s="3472" t="s">
        <v>3117</v>
      </c>
      <c r="C259" s="3473">
        <v>0.14399999999999999</v>
      </c>
      <c r="D259" s="3473">
        <v>0.14399999999999999</v>
      </c>
      <c r="E259" s="3473">
        <v>0.14899999999999999</v>
      </c>
      <c r="F259" s="3473">
        <v>0.14699999999999999</v>
      </c>
      <c r="G259" s="3474">
        <v>0.14599999999999999</v>
      </c>
    </row>
    <row r="260" spans="1:7">
      <c r="A260" s="3483" t="s">
        <v>1155</v>
      </c>
      <c r="B260" s="3472" t="s">
        <v>3118</v>
      </c>
      <c r="C260" s="3473">
        <v>0.109</v>
      </c>
      <c r="D260" s="3473">
        <v>0.111</v>
      </c>
      <c r="E260" s="3473">
        <v>0.13100000000000001</v>
      </c>
      <c r="F260" s="3473">
        <v>0.126</v>
      </c>
      <c r="G260" s="3474">
        <v>0.11899999999999999</v>
      </c>
    </row>
    <row r="261" spans="1:7">
      <c r="A261" s="3483" t="s">
        <v>1155</v>
      </c>
      <c r="B261" s="3472" t="s">
        <v>3119</v>
      </c>
      <c r="C261" s="3473">
        <v>0.1</v>
      </c>
      <c r="D261" s="3473">
        <v>0.1</v>
      </c>
      <c r="E261" s="3473">
        <v>0.11799999999999999</v>
      </c>
      <c r="F261" s="3473">
        <v>0.108</v>
      </c>
      <c r="G261" s="3474">
        <v>0.107</v>
      </c>
    </row>
    <row r="262" spans="1:7">
      <c r="A262" s="3483" t="s">
        <v>1155</v>
      </c>
      <c r="B262" s="3472" t="s">
        <v>3120</v>
      </c>
      <c r="C262" s="3473">
        <v>0.1</v>
      </c>
      <c r="D262" s="3473">
        <v>0.1</v>
      </c>
      <c r="E262" s="3473">
        <v>0.1</v>
      </c>
      <c r="F262" s="3473">
        <v>0.14099999999999999</v>
      </c>
      <c r="G262" s="3474">
        <v>0.1</v>
      </c>
    </row>
    <row r="263" spans="1:7">
      <c r="A263" s="3483" t="s">
        <v>1155</v>
      </c>
      <c r="B263" s="3472" t="s">
        <v>3121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3122</v>
      </c>
      <c r="C265" s="3484"/>
      <c r="D265" s="3484"/>
      <c r="E265" s="3484"/>
      <c r="F265" s="3473">
        <v>0.05</v>
      </c>
      <c r="G265" s="3490"/>
    </row>
    <row r="266" spans="1:7">
      <c r="A266" s="3483" t="s">
        <v>1155</v>
      </c>
      <c r="B266" s="3472" t="s">
        <v>3123</v>
      </c>
      <c r="C266" s="3484"/>
      <c r="D266" s="3484"/>
      <c r="E266" s="3484"/>
      <c r="F266" s="3473">
        <v>0.05</v>
      </c>
      <c r="G266" s="3490"/>
    </row>
    <row r="267" spans="1:7">
      <c r="A267" s="3483" t="s">
        <v>1155</v>
      </c>
      <c r="B267" s="3472" t="s">
        <v>3124</v>
      </c>
      <c r="C267" s="3484"/>
      <c r="D267" s="3484"/>
      <c r="E267" s="3484"/>
      <c r="F267" s="3473">
        <v>0.05</v>
      </c>
      <c r="G267" s="3490"/>
    </row>
    <row r="268" spans="1:7">
      <c r="A268" s="3483" t="s">
        <v>1155</v>
      </c>
      <c r="B268" s="3472" t="s">
        <v>3125</v>
      </c>
      <c r="C268" s="3484"/>
      <c r="D268" s="3484"/>
      <c r="E268" s="3484"/>
      <c r="F268" s="3473">
        <v>0.05</v>
      </c>
      <c r="G268" s="3490"/>
    </row>
    <row r="269" spans="1:7">
      <c r="A269" s="3483" t="s">
        <v>1155</v>
      </c>
      <c r="B269" s="3472" t="s">
        <v>3126</v>
      </c>
      <c r="C269" s="3484"/>
      <c r="D269" s="3484"/>
      <c r="E269" s="3484"/>
      <c r="F269" s="3473">
        <v>0.05</v>
      </c>
      <c r="G269" s="3490"/>
    </row>
    <row r="270" spans="1:7">
      <c r="A270" s="3483" t="s">
        <v>1155</v>
      </c>
      <c r="B270" s="3472" t="s">
        <v>3127</v>
      </c>
      <c r="C270" s="3484"/>
      <c r="D270" s="3484"/>
      <c r="E270" s="3484"/>
      <c r="F270" s="3473">
        <v>0.05</v>
      </c>
      <c r="G270" s="3490"/>
    </row>
    <row r="271" spans="1:7">
      <c r="A271" s="3483" t="s">
        <v>1155</v>
      </c>
      <c r="B271" s="3472" t="s">
        <v>3128</v>
      </c>
      <c r="C271" s="3484"/>
      <c r="D271" s="3484"/>
      <c r="E271" s="3484"/>
      <c r="F271" s="3473">
        <v>0.05</v>
      </c>
      <c r="G271" s="3490"/>
    </row>
    <row r="272" spans="1:7">
      <c r="A272" s="3483" t="s">
        <v>1155</v>
      </c>
      <c r="B272" s="3472" t="s">
        <v>3129</v>
      </c>
      <c r="C272" s="3484"/>
      <c r="D272" s="3484"/>
      <c r="E272" s="3484"/>
      <c r="F272" s="3473">
        <v>0.05</v>
      </c>
      <c r="G272" s="3490"/>
    </row>
    <row r="273" spans="1:7">
      <c r="A273" s="3483" t="s">
        <v>1155</v>
      </c>
      <c r="B273" s="3472" t="s">
        <v>3130</v>
      </c>
      <c r="C273" s="3484"/>
      <c r="D273" s="3484"/>
      <c r="E273" s="3484"/>
      <c r="F273" s="3473">
        <v>0.05</v>
      </c>
      <c r="G273" s="3490"/>
    </row>
    <row r="274" spans="1:7">
      <c r="A274" s="3483" t="s">
        <v>1155</v>
      </c>
      <c r="B274" s="3472" t="s">
        <v>3131</v>
      </c>
      <c r="C274" s="3484"/>
      <c r="D274" s="3484"/>
      <c r="E274" s="3484"/>
      <c r="F274" s="3473">
        <v>0.05</v>
      </c>
      <c r="G274" s="3490"/>
    </row>
    <row r="275" spans="1:7">
      <c r="A275" s="3483" t="s">
        <v>1155</v>
      </c>
      <c r="B275" s="3472" t="s">
        <v>3132</v>
      </c>
      <c r="C275" s="3484"/>
      <c r="D275" s="3484"/>
      <c r="E275" s="3484"/>
      <c r="F275" s="3473">
        <v>0.05</v>
      </c>
      <c r="G275" s="3490"/>
    </row>
    <row r="276" spans="1:7" ht="15" thickBot="1">
      <c r="A276" s="3486" t="s">
        <v>1155</v>
      </c>
      <c r="B276" s="3476" t="s">
        <v>3133</v>
      </c>
      <c r="C276" s="3478"/>
      <c r="D276" s="3478"/>
      <c r="E276" s="3478"/>
      <c r="F276" s="3477">
        <v>0.05</v>
      </c>
      <c r="G276" s="3491"/>
    </row>
    <row r="277" spans="1:7">
      <c r="A277" s="3482" t="s">
        <v>1156</v>
      </c>
      <c r="B277" s="3468" t="s">
        <v>3134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3135</v>
      </c>
      <c r="C279" s="3473">
        <v>0.15</v>
      </c>
      <c r="D279" s="3473">
        <v>0.15</v>
      </c>
      <c r="E279" s="3473">
        <v>0.15</v>
      </c>
      <c r="F279" s="3473">
        <v>0.15</v>
      </c>
      <c r="G279" s="3474">
        <v>0.15</v>
      </c>
    </row>
    <row r="280" spans="1:7">
      <c r="A280" s="3483" t="s">
        <v>1156</v>
      </c>
      <c r="B280" s="3472" t="s">
        <v>3136</v>
      </c>
      <c r="C280" s="3473">
        <v>0.15</v>
      </c>
      <c r="D280" s="3473">
        <v>0.15</v>
      </c>
      <c r="E280" s="3473">
        <v>0.15</v>
      </c>
      <c r="F280" s="3473">
        <v>0.15</v>
      </c>
      <c r="G280" s="3474">
        <v>0.15</v>
      </c>
    </row>
    <row r="281" spans="1:7">
      <c r="A281" s="3483" t="s">
        <v>1156</v>
      </c>
      <c r="B281" s="3472" t="s">
        <v>3137</v>
      </c>
      <c r="C281" s="3473">
        <v>0.15</v>
      </c>
      <c r="D281" s="3473">
        <v>0.15</v>
      </c>
      <c r="E281" s="3473">
        <v>0.15</v>
      </c>
      <c r="F281" s="3473">
        <v>0.15</v>
      </c>
      <c r="G281" s="3474">
        <v>0.15</v>
      </c>
    </row>
    <row r="282" spans="1:7">
      <c r="A282" s="3483" t="s">
        <v>1156</v>
      </c>
      <c r="B282" s="3472" t="s">
        <v>3138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2963</v>
      </c>
      <c r="C293" s="3473">
        <v>0.15</v>
      </c>
      <c r="D293" s="3473">
        <v>0.15</v>
      </c>
      <c r="E293" s="3473">
        <v>0.15</v>
      </c>
      <c r="F293" s="3473">
        <v>0.14499999999999999</v>
      </c>
      <c r="G293" s="3474">
        <v>0.15</v>
      </c>
    </row>
    <row r="294" spans="1:7">
      <c r="A294" s="3483" t="s">
        <v>1156</v>
      </c>
      <c r="B294" s="3472" t="s">
        <v>3141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3142</v>
      </c>
      <c r="C302" s="3473">
        <v>0.15</v>
      </c>
      <c r="D302" s="3473">
        <v>0.15</v>
      </c>
      <c r="E302" s="3473">
        <v>0.15</v>
      </c>
      <c r="F302" s="3473">
        <v>0.14699999999999999</v>
      </c>
      <c r="G302" s="3474">
        <v>0.15</v>
      </c>
    </row>
    <row r="303" spans="1:7">
      <c r="A303" s="3483" t="s">
        <v>1156</v>
      </c>
      <c r="B303" s="3472" t="s">
        <v>2967</v>
      </c>
      <c r="C303" s="3473">
        <v>0.15</v>
      </c>
      <c r="D303" s="3473">
        <v>0.15</v>
      </c>
      <c r="E303" s="3473">
        <v>0.15</v>
      </c>
      <c r="F303" s="3473">
        <v>0.14199999999999999</v>
      </c>
      <c r="G303" s="3474">
        <v>0.15</v>
      </c>
    </row>
    <row r="304" spans="1:7">
      <c r="A304" s="3483" t="s">
        <v>1156</v>
      </c>
      <c r="B304" s="3472" t="s">
        <v>2968</v>
      </c>
      <c r="C304" s="3473">
        <v>0.15</v>
      </c>
      <c r="D304" s="3473">
        <v>0.15</v>
      </c>
      <c r="E304" s="3473">
        <v>0.15</v>
      </c>
      <c r="F304" s="3473">
        <v>0.14499999999999999</v>
      </c>
      <c r="G304" s="3474">
        <v>0.15</v>
      </c>
    </row>
    <row r="305" spans="1:7">
      <c r="A305" s="3483" t="s">
        <v>1156</v>
      </c>
      <c r="B305" s="3472" t="s">
        <v>2969</v>
      </c>
      <c r="C305" s="3473">
        <v>0.15</v>
      </c>
      <c r="D305" s="3473">
        <v>0.15</v>
      </c>
      <c r="E305" s="3473">
        <v>0.15</v>
      </c>
      <c r="F305" s="3473">
        <v>0.111</v>
      </c>
      <c r="G305" s="3474">
        <v>0.15</v>
      </c>
    </row>
    <row r="306" spans="1:7">
      <c r="A306" s="3483" t="s">
        <v>1156</v>
      </c>
      <c r="B306" s="3472" t="s">
        <v>3143</v>
      </c>
      <c r="C306" s="3473">
        <v>0.15</v>
      </c>
      <c r="D306" s="3473">
        <v>0.15</v>
      </c>
      <c r="E306" s="3473">
        <v>0.15</v>
      </c>
      <c r="F306" s="3473">
        <v>0.126</v>
      </c>
      <c r="G306" s="3474">
        <v>0.15</v>
      </c>
    </row>
    <row r="307" spans="1:7">
      <c r="A307" s="3483" t="s">
        <v>1156</v>
      </c>
      <c r="B307" s="3472" t="s">
        <v>2971</v>
      </c>
      <c r="C307" s="3473">
        <v>0.15</v>
      </c>
      <c r="D307" s="3473">
        <v>0.15</v>
      </c>
      <c r="E307" s="3473">
        <v>0.15</v>
      </c>
      <c r="F307" s="3473">
        <v>0.12</v>
      </c>
      <c r="G307" s="3474">
        <v>0.15</v>
      </c>
    </row>
    <row r="308" spans="1:7">
      <c r="A308" s="3483" t="s">
        <v>1156</v>
      </c>
      <c r="B308" s="3472" t="s">
        <v>3144</v>
      </c>
      <c r="C308" s="3473">
        <v>0.15</v>
      </c>
      <c r="D308" s="3473">
        <v>0.15</v>
      </c>
      <c r="E308" s="3473">
        <v>0.15</v>
      </c>
      <c r="F308" s="3473">
        <v>0.13</v>
      </c>
      <c r="G308" s="3474">
        <v>0.15</v>
      </c>
    </row>
    <row r="309" spans="1:7">
      <c r="A309" s="3483" t="s">
        <v>1156</v>
      </c>
      <c r="B309" s="3472" t="s">
        <v>3145</v>
      </c>
      <c r="C309" s="3473">
        <v>0.15</v>
      </c>
      <c r="D309" s="3473">
        <v>0.15</v>
      </c>
      <c r="E309" s="3473">
        <v>0.15</v>
      </c>
      <c r="F309" s="3473">
        <v>0.14099999999999999</v>
      </c>
      <c r="G309" s="3474">
        <v>0.15</v>
      </c>
    </row>
    <row r="310" spans="1:7">
      <c r="A310" s="3483" t="s">
        <v>1156</v>
      </c>
      <c r="B310" s="3472" t="s">
        <v>2974</v>
      </c>
      <c r="C310" s="3473">
        <v>0.15</v>
      </c>
      <c r="D310" s="3473">
        <v>0.15</v>
      </c>
      <c r="E310" s="3473">
        <v>0.15</v>
      </c>
      <c r="F310" s="3473">
        <v>0.15</v>
      </c>
      <c r="G310" s="3474">
        <v>0.15</v>
      </c>
    </row>
    <row r="311" spans="1:7">
      <c r="A311" s="3483" t="s">
        <v>1156</v>
      </c>
      <c r="B311" s="3472" t="s">
        <v>3146</v>
      </c>
      <c r="C311" s="3473">
        <v>0.13200000000000001</v>
      </c>
      <c r="D311" s="3473">
        <v>0.13300000000000001</v>
      </c>
      <c r="E311" s="3473">
        <v>0.14499999999999999</v>
      </c>
      <c r="F311" s="3473">
        <v>0.14199999999999999</v>
      </c>
      <c r="G311" s="3474">
        <v>0.14000000000000001</v>
      </c>
    </row>
    <row r="312" spans="1:7">
      <c r="A312" s="3483" t="s">
        <v>1156</v>
      </c>
      <c r="B312" s="3472" t="s">
        <v>2976</v>
      </c>
      <c r="C312" s="3473">
        <v>0.13800000000000001</v>
      </c>
      <c r="D312" s="3473">
        <v>0.14000000000000001</v>
      </c>
      <c r="E312" s="3473">
        <v>0.14599999999999999</v>
      </c>
      <c r="F312" s="3473">
        <v>0.14899999999999999</v>
      </c>
      <c r="G312" s="3474">
        <v>0.14199999999999999</v>
      </c>
    </row>
    <row r="313" spans="1:7">
      <c r="A313" s="3483" t="s">
        <v>1156</v>
      </c>
      <c r="B313" s="3472" t="s">
        <v>2977</v>
      </c>
      <c r="C313" s="3473">
        <v>0.125</v>
      </c>
      <c r="D313" s="3473">
        <v>0.127</v>
      </c>
      <c r="E313" s="3473">
        <v>0.14399999999999999</v>
      </c>
      <c r="F313" s="3473">
        <v>0.115</v>
      </c>
      <c r="G313" s="3474">
        <v>0.13600000000000001</v>
      </c>
    </row>
    <row r="314" spans="1:7">
      <c r="A314" s="3483" t="s">
        <v>1156</v>
      </c>
      <c r="B314" s="3472" t="s">
        <v>3147</v>
      </c>
      <c r="C314" s="3489"/>
      <c r="D314" s="3489"/>
      <c r="E314" s="3489"/>
      <c r="F314" s="3473">
        <v>0.05</v>
      </c>
      <c r="G314" s="3490"/>
    </row>
    <row r="315" spans="1:7">
      <c r="A315" s="3483" t="s">
        <v>1156</v>
      </c>
      <c r="B315" s="3472" t="s">
        <v>3148</v>
      </c>
      <c r="C315" s="3489"/>
      <c r="D315" s="3489"/>
      <c r="E315" s="3489"/>
      <c r="F315" s="3473">
        <v>0.05</v>
      </c>
      <c r="G315" s="3490"/>
    </row>
    <row r="316" spans="1:7">
      <c r="A316" s="3483" t="s">
        <v>1156</v>
      </c>
      <c r="B316" s="3472" t="s">
        <v>3149</v>
      </c>
      <c r="C316" s="3484"/>
      <c r="D316" s="3484"/>
      <c r="E316" s="3484"/>
      <c r="F316" s="3473">
        <v>0.05</v>
      </c>
      <c r="G316" s="3490"/>
    </row>
    <row r="317" spans="1:7">
      <c r="A317" s="3483" t="s">
        <v>1156</v>
      </c>
      <c r="B317" s="3472" t="s">
        <v>3150</v>
      </c>
      <c r="C317" s="3484"/>
      <c r="D317" s="3484"/>
      <c r="E317" s="3484"/>
      <c r="F317" s="3473">
        <v>0.05</v>
      </c>
      <c r="G317" s="3490"/>
    </row>
    <row r="318" spans="1:7">
      <c r="A318" s="3483" t="s">
        <v>1156</v>
      </c>
      <c r="B318" s="3472" t="s">
        <v>3151</v>
      </c>
      <c r="C318" s="3484"/>
      <c r="D318" s="3484"/>
      <c r="E318" s="3484"/>
      <c r="F318" s="3473">
        <v>0.05</v>
      </c>
      <c r="G318" s="3490"/>
    </row>
    <row r="319" spans="1:7">
      <c r="A319" s="3483" t="s">
        <v>1156</v>
      </c>
      <c r="B319" s="3472" t="s">
        <v>3152</v>
      </c>
      <c r="C319" s="3484"/>
      <c r="D319" s="3484"/>
      <c r="E319" s="3484"/>
      <c r="F319" s="3473">
        <v>0.05</v>
      </c>
      <c r="G319" s="3490"/>
    </row>
    <row r="320" spans="1:7">
      <c r="A320" s="3483" t="s">
        <v>1156</v>
      </c>
      <c r="B320" s="3472" t="s">
        <v>3153</v>
      </c>
      <c r="C320" s="3484"/>
      <c r="D320" s="3484"/>
      <c r="E320" s="3484"/>
      <c r="F320" s="3473">
        <v>0.05</v>
      </c>
      <c r="G320" s="3490"/>
    </row>
    <row r="321" spans="1:7">
      <c r="A321" s="3483" t="s">
        <v>1156</v>
      </c>
      <c r="B321" s="3472" t="s">
        <v>3154</v>
      </c>
      <c r="C321" s="3484"/>
      <c r="D321" s="3484"/>
      <c r="E321" s="3484"/>
      <c r="F321" s="3473">
        <v>0.05</v>
      </c>
      <c r="G321" s="3490"/>
    </row>
    <row r="322" spans="1:7">
      <c r="A322" s="3483" t="s">
        <v>1156</v>
      </c>
      <c r="B322" s="3472" t="s">
        <v>3155</v>
      </c>
      <c r="C322" s="3484"/>
      <c r="D322" s="3484"/>
      <c r="E322" s="3484"/>
      <c r="F322" s="3473">
        <v>0.05</v>
      </c>
      <c r="G322" s="3490"/>
    </row>
    <row r="323" spans="1:7">
      <c r="A323" s="3483" t="s">
        <v>1156</v>
      </c>
      <c r="B323" s="3472" t="s">
        <v>3156</v>
      </c>
      <c r="C323" s="3484"/>
      <c r="D323" s="3484"/>
      <c r="E323" s="3484"/>
      <c r="F323" s="3473">
        <v>0.05</v>
      </c>
      <c r="G323" s="3490"/>
    </row>
    <row r="324" spans="1:7">
      <c r="A324" s="3483" t="s">
        <v>1156</v>
      </c>
      <c r="B324" s="3472" t="s">
        <v>3157</v>
      </c>
      <c r="C324" s="3484"/>
      <c r="D324" s="3484"/>
      <c r="E324" s="3484"/>
      <c r="F324" s="3473">
        <v>0.05</v>
      </c>
      <c r="G324" s="3490"/>
    </row>
    <row r="325" spans="1:7">
      <c r="A325" s="3483" t="s">
        <v>1156</v>
      </c>
      <c r="B325" s="3472" t="s">
        <v>3158</v>
      </c>
      <c r="C325" s="3484"/>
      <c r="D325" s="3484"/>
      <c r="E325" s="3484"/>
      <c r="F325" s="3473">
        <v>0.05</v>
      </c>
      <c r="G325" s="3490"/>
    </row>
    <row r="326" spans="1:7" ht="15" thickBot="1">
      <c r="A326" s="3486" t="s">
        <v>1156</v>
      </c>
      <c r="B326" s="3476" t="s">
        <v>3159</v>
      </c>
      <c r="C326" s="3478"/>
      <c r="D326" s="3478"/>
      <c r="E326" s="3478"/>
      <c r="F326" s="3477">
        <v>0.05</v>
      </c>
      <c r="G326" s="3491"/>
    </row>
    <row r="327" spans="1:7">
      <c r="A327" s="3482" t="s">
        <v>1157</v>
      </c>
      <c r="B327" s="3468" t="s">
        <v>3160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3161</v>
      </c>
      <c r="C329" s="3473">
        <v>0.15</v>
      </c>
      <c r="D329" s="3473">
        <v>0.15</v>
      </c>
      <c r="E329" s="3473">
        <v>0.15</v>
      </c>
      <c r="F329" s="3473">
        <v>0.15</v>
      </c>
      <c r="G329" s="3474">
        <v>0.15</v>
      </c>
    </row>
    <row r="330" spans="1:7">
      <c r="A330" s="3483" t="s">
        <v>1157</v>
      </c>
      <c r="B330" s="3472" t="s">
        <v>3162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2994</v>
      </c>
      <c r="C332" s="3473">
        <v>0.15</v>
      </c>
      <c r="D332" s="3473">
        <v>0.15</v>
      </c>
      <c r="E332" s="3473">
        <v>0.15</v>
      </c>
      <c r="F332" s="3473">
        <v>0.15</v>
      </c>
      <c r="G332" s="3474">
        <v>0.15</v>
      </c>
    </row>
    <row r="333" spans="1:7">
      <c r="A333" s="3483" t="s">
        <v>1157</v>
      </c>
      <c r="B333" s="3472" t="s">
        <v>3163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2996</v>
      </c>
      <c r="C336" s="3473">
        <v>0.15</v>
      </c>
      <c r="D336" s="3473">
        <v>0.15</v>
      </c>
      <c r="E336" s="3473">
        <v>0.15</v>
      </c>
      <c r="F336" s="3473">
        <v>0.14199999999999999</v>
      </c>
      <c r="G336" s="3474">
        <v>0.15</v>
      </c>
    </row>
    <row r="337" spans="1:7">
      <c r="A337" s="3483" t="s">
        <v>1157</v>
      </c>
      <c r="B337" s="3472" t="s">
        <v>3164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3000</v>
      </c>
      <c r="C345" s="3473">
        <v>0.15</v>
      </c>
      <c r="D345" s="3473">
        <v>0.15</v>
      </c>
      <c r="E345" s="3473">
        <v>0.15</v>
      </c>
      <c r="F345" s="3473">
        <v>0.13800000000000001</v>
      </c>
      <c r="G345" s="3474">
        <v>0.15</v>
      </c>
    </row>
    <row r="346" spans="1:7">
      <c r="A346" s="3483" t="s">
        <v>1157</v>
      </c>
      <c r="B346" s="3472" t="s">
        <v>3167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3002</v>
      </c>
      <c r="C348" s="3473">
        <v>0.15</v>
      </c>
      <c r="D348" s="3473">
        <v>0.15</v>
      </c>
      <c r="E348" s="3473">
        <v>0.15</v>
      </c>
      <c r="F348" s="3473">
        <v>0.14399999999999999</v>
      </c>
      <c r="G348" s="3474">
        <v>0.15</v>
      </c>
    </row>
    <row r="349" spans="1:7">
      <c r="A349" s="3483" t="s">
        <v>1157</v>
      </c>
      <c r="B349" s="3472" t="s">
        <v>3003</v>
      </c>
      <c r="C349" s="3473">
        <v>0.15</v>
      </c>
      <c r="D349" s="3473">
        <v>0.15</v>
      </c>
      <c r="E349" s="3473">
        <v>0.15</v>
      </c>
      <c r="F349" s="3473">
        <v>0.15</v>
      </c>
      <c r="G349" s="3474">
        <v>0.15</v>
      </c>
    </row>
    <row r="350" spans="1:7">
      <c r="A350" s="3483" t="s">
        <v>1157</v>
      </c>
      <c r="B350" s="3472" t="s">
        <v>3168</v>
      </c>
      <c r="C350" s="3473">
        <v>0.15</v>
      </c>
      <c r="D350" s="3473">
        <v>0.15</v>
      </c>
      <c r="E350" s="3473">
        <v>0.15</v>
      </c>
      <c r="F350" s="3473">
        <v>0.14699999999999999</v>
      </c>
      <c r="G350" s="3474">
        <v>0.15</v>
      </c>
    </row>
    <row r="351" spans="1:7">
      <c r="A351" s="3483" t="s">
        <v>1157</v>
      </c>
      <c r="B351" s="3472" t="s">
        <v>3005</v>
      </c>
      <c r="C351" s="3473">
        <v>0.15</v>
      </c>
      <c r="D351" s="3473">
        <v>0.15</v>
      </c>
      <c r="E351" s="3473">
        <v>0.15</v>
      </c>
      <c r="F351" s="3473">
        <v>0.13</v>
      </c>
      <c r="G351" s="3474">
        <v>0.15</v>
      </c>
    </row>
    <row r="352" spans="1:7">
      <c r="A352" s="3483" t="s">
        <v>1157</v>
      </c>
      <c r="B352" s="3472" t="s">
        <v>3006</v>
      </c>
      <c r="C352" s="3473">
        <v>0.15</v>
      </c>
      <c r="D352" s="3473">
        <v>0.15</v>
      </c>
      <c r="E352" s="3473">
        <v>0.15</v>
      </c>
      <c r="F352" s="3473">
        <v>0.14599999999999999</v>
      </c>
      <c r="G352" s="3474">
        <v>0.15</v>
      </c>
    </row>
    <row r="353" spans="1:7">
      <c r="A353" s="3483" t="s">
        <v>1157</v>
      </c>
      <c r="B353" s="3472" t="s">
        <v>3169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3008</v>
      </c>
      <c r="C355" s="3473">
        <v>0.15</v>
      </c>
      <c r="D355" s="3473">
        <v>0.15</v>
      </c>
      <c r="E355" s="3473">
        <v>0.15</v>
      </c>
      <c r="F355" s="3473">
        <v>0.15</v>
      </c>
      <c r="G355" s="3474">
        <v>0.15</v>
      </c>
    </row>
    <row r="356" spans="1:7">
      <c r="A356" s="3483" t="s">
        <v>1157</v>
      </c>
      <c r="B356" s="3472" t="s">
        <v>3009</v>
      </c>
      <c r="C356" s="3473">
        <v>0.15</v>
      </c>
      <c r="D356" s="3473">
        <v>0.15</v>
      </c>
      <c r="E356" s="3473">
        <v>0.15</v>
      </c>
      <c r="F356" s="3473">
        <v>0.15</v>
      </c>
      <c r="G356" s="3474">
        <v>0.15</v>
      </c>
    </row>
    <row r="357" spans="1:7" ht="15" thickBot="1">
      <c r="A357" s="3486" t="s">
        <v>1157</v>
      </c>
      <c r="B357" s="3476" t="s">
        <v>3170</v>
      </c>
      <c r="C357" s="3477">
        <v>0.126</v>
      </c>
      <c r="D357" s="3477">
        <v>0.127</v>
      </c>
      <c r="E357" s="3477">
        <v>0.14299999999999999</v>
      </c>
      <c r="F357" s="3477">
        <v>0.125</v>
      </c>
      <c r="G357" s="3479">
        <v>0.129</v>
      </c>
    </row>
    <row r="358" spans="1:7">
      <c r="A358" s="3482" t="s">
        <v>3171</v>
      </c>
      <c r="B358" s="3468" t="s">
        <v>3172</v>
      </c>
      <c r="C358" s="3469">
        <v>0.15</v>
      </c>
      <c r="D358" s="3469">
        <v>0.15</v>
      </c>
      <c r="E358" s="3469">
        <v>0.15</v>
      </c>
      <c r="F358" s="3469">
        <v>0.15</v>
      </c>
      <c r="G358" s="3470">
        <v>0.15</v>
      </c>
    </row>
    <row r="359" spans="1:7">
      <c r="A359" s="3483" t="s">
        <v>3171</v>
      </c>
      <c r="B359" s="3472" t="s">
        <v>3173</v>
      </c>
      <c r="C359" s="3473">
        <v>0.1</v>
      </c>
      <c r="D359" s="3473">
        <v>0.1</v>
      </c>
      <c r="E359" s="3473">
        <v>0.1</v>
      </c>
      <c r="F359" s="3473">
        <v>0.1</v>
      </c>
      <c r="G359" s="3474">
        <v>0.1</v>
      </c>
    </row>
    <row r="360" spans="1:7">
      <c r="A360" s="3483" t="s">
        <v>3171</v>
      </c>
      <c r="B360" s="3472" t="s">
        <v>3174</v>
      </c>
      <c r="C360" s="3473">
        <v>0.15</v>
      </c>
      <c r="D360" s="3473">
        <v>0.15</v>
      </c>
      <c r="E360" s="3473">
        <v>0.15</v>
      </c>
      <c r="F360" s="3473">
        <v>0.14899999999999999</v>
      </c>
      <c r="G360" s="3474">
        <v>0.15</v>
      </c>
    </row>
    <row r="361" spans="1:7">
      <c r="A361" s="3483" t="s">
        <v>3171</v>
      </c>
      <c r="B361" s="3472" t="s">
        <v>999</v>
      </c>
      <c r="C361" s="3473">
        <v>0.15</v>
      </c>
      <c r="D361" s="3473">
        <v>0.15</v>
      </c>
      <c r="E361" s="3473">
        <v>0.15</v>
      </c>
      <c r="F361" s="3473">
        <v>0.115</v>
      </c>
      <c r="G361" s="3474">
        <v>0.15</v>
      </c>
    </row>
    <row r="362" spans="1:7">
      <c r="A362" s="3483" t="s">
        <v>3171</v>
      </c>
      <c r="B362" s="3472" t="s">
        <v>3175</v>
      </c>
      <c r="C362" s="3473">
        <v>0.15</v>
      </c>
      <c r="D362" s="3473">
        <v>0.15</v>
      </c>
      <c r="E362" s="3473">
        <v>0.15</v>
      </c>
      <c r="F362" s="3473">
        <v>0.106</v>
      </c>
      <c r="G362" s="3474">
        <v>0.15</v>
      </c>
    </row>
    <row r="363" spans="1:7">
      <c r="A363" s="3483" t="s">
        <v>3171</v>
      </c>
      <c r="B363" s="3472" t="s">
        <v>3015</v>
      </c>
      <c r="C363" s="3473">
        <v>0.15</v>
      </c>
      <c r="D363" s="3473">
        <v>0.15</v>
      </c>
      <c r="E363" s="3473">
        <v>0.15</v>
      </c>
      <c r="F363" s="3473">
        <v>0.14699999999999999</v>
      </c>
      <c r="G363" s="3474">
        <v>0.15</v>
      </c>
    </row>
    <row r="364" spans="1:7">
      <c r="A364" s="3483" t="s">
        <v>3171</v>
      </c>
      <c r="B364" s="3472" t="s">
        <v>3176</v>
      </c>
      <c r="C364" s="3473">
        <v>0.15</v>
      </c>
      <c r="D364" s="3473">
        <v>0.15</v>
      </c>
      <c r="E364" s="3473">
        <v>0.15</v>
      </c>
      <c r="F364" s="3473">
        <v>0.14799999999999999</v>
      </c>
      <c r="G364" s="3474">
        <v>0.15</v>
      </c>
    </row>
    <row r="365" spans="1:7">
      <c r="A365" s="3483" t="s">
        <v>3171</v>
      </c>
      <c r="B365" s="3472" t="s">
        <v>1047</v>
      </c>
      <c r="C365" s="3473">
        <v>0.15</v>
      </c>
      <c r="D365" s="3473">
        <v>0.15</v>
      </c>
      <c r="E365" s="3473">
        <v>0.15</v>
      </c>
      <c r="F365" s="3473">
        <v>0.15</v>
      </c>
      <c r="G365" s="3474">
        <v>0.15</v>
      </c>
    </row>
    <row r="366" spans="1:7">
      <c r="A366" s="3483" t="s">
        <v>3171</v>
      </c>
      <c r="B366" s="3472" t="s">
        <v>3017</v>
      </c>
      <c r="C366" s="3473">
        <v>0.15</v>
      </c>
      <c r="D366" s="3473">
        <v>0.15</v>
      </c>
      <c r="E366" s="3473">
        <v>0.15</v>
      </c>
      <c r="F366" s="3473">
        <v>0.15</v>
      </c>
      <c r="G366" s="3474">
        <v>0.15</v>
      </c>
    </row>
    <row r="367" spans="1:7">
      <c r="A367" s="3483" t="s">
        <v>3171</v>
      </c>
      <c r="B367" s="3472" t="s">
        <v>3177</v>
      </c>
      <c r="C367" s="3473">
        <v>0.15</v>
      </c>
      <c r="D367" s="3473">
        <v>0.15</v>
      </c>
      <c r="E367" s="3473">
        <v>0.15</v>
      </c>
      <c r="F367" s="3473">
        <v>0.14699999999999999</v>
      </c>
      <c r="G367" s="3474">
        <v>0.15</v>
      </c>
    </row>
    <row r="368" spans="1:7">
      <c r="A368" s="3483" t="s">
        <v>3171</v>
      </c>
      <c r="B368" s="3472" t="s">
        <v>3178</v>
      </c>
      <c r="C368" s="3473">
        <v>0.15</v>
      </c>
      <c r="D368" s="3473">
        <v>0.15</v>
      </c>
      <c r="E368" s="3473">
        <v>0.15</v>
      </c>
      <c r="F368" s="3473">
        <v>0.13600000000000001</v>
      </c>
      <c r="G368" s="3474">
        <v>0.15</v>
      </c>
    </row>
    <row r="369" spans="1:7">
      <c r="A369" s="3483" t="s">
        <v>3171</v>
      </c>
      <c r="B369" s="3472" t="s">
        <v>1061</v>
      </c>
      <c r="C369" s="3473">
        <v>0.15</v>
      </c>
      <c r="D369" s="3473">
        <v>0.15</v>
      </c>
      <c r="E369" s="3473">
        <v>0.15</v>
      </c>
      <c r="F369" s="3473">
        <v>0.14399999999999999</v>
      </c>
      <c r="G369" s="3474">
        <v>0.15</v>
      </c>
    </row>
    <row r="370" spans="1:7">
      <c r="A370" s="3483" t="s">
        <v>3171</v>
      </c>
      <c r="B370" s="3472" t="s">
        <v>1069</v>
      </c>
      <c r="C370" s="3473">
        <v>0.15</v>
      </c>
      <c r="D370" s="3473">
        <v>0.15</v>
      </c>
      <c r="E370" s="3473">
        <v>0.15</v>
      </c>
      <c r="F370" s="3473">
        <v>0.14599999999999999</v>
      </c>
      <c r="G370" s="3474">
        <v>0.15</v>
      </c>
    </row>
    <row r="371" spans="1:7">
      <c r="A371" s="3483" t="s">
        <v>3171</v>
      </c>
      <c r="B371" s="3472" t="s">
        <v>1077</v>
      </c>
      <c r="C371" s="3473">
        <v>0.15</v>
      </c>
      <c r="D371" s="3473">
        <v>0.15</v>
      </c>
      <c r="E371" s="3473">
        <v>0.15</v>
      </c>
      <c r="F371" s="3473">
        <v>0.12</v>
      </c>
      <c r="G371" s="3474">
        <v>0.15</v>
      </c>
    </row>
    <row r="372" spans="1:7">
      <c r="A372" s="3483" t="s">
        <v>3171</v>
      </c>
      <c r="B372" s="3472" t="s">
        <v>3179</v>
      </c>
      <c r="C372" s="3473">
        <v>0.15</v>
      </c>
      <c r="D372" s="3473">
        <v>0.15</v>
      </c>
      <c r="E372" s="3473">
        <v>0.15</v>
      </c>
      <c r="F372" s="3473">
        <v>0.14299999999999999</v>
      </c>
      <c r="G372" s="3474">
        <v>0.15</v>
      </c>
    </row>
    <row r="373" spans="1:7">
      <c r="A373" s="3483" t="s">
        <v>3171</v>
      </c>
      <c r="B373" s="3472" t="s">
        <v>1106</v>
      </c>
      <c r="C373" s="3473">
        <v>0.15</v>
      </c>
      <c r="D373" s="3473">
        <v>0.15</v>
      </c>
      <c r="E373" s="3473">
        <v>0.15</v>
      </c>
      <c r="F373" s="3473">
        <v>0.14599999999999999</v>
      </c>
      <c r="G373" s="3474">
        <v>0.15</v>
      </c>
    </row>
    <row r="374" spans="1:7">
      <c r="A374" s="3483" t="s">
        <v>3171</v>
      </c>
      <c r="B374" s="3472" t="s">
        <v>1114</v>
      </c>
      <c r="C374" s="3473">
        <v>0.15</v>
      </c>
      <c r="D374" s="3473">
        <v>0.15</v>
      </c>
      <c r="E374" s="3473">
        <v>0.15</v>
      </c>
      <c r="F374" s="3473">
        <v>0.14399999999999999</v>
      </c>
      <c r="G374" s="3474">
        <v>0.15</v>
      </c>
    </row>
    <row r="375" spans="1:7">
      <c r="A375" s="3483" t="s">
        <v>3171</v>
      </c>
      <c r="B375" s="3472" t="s">
        <v>3180</v>
      </c>
      <c r="C375" s="3473">
        <v>0.15</v>
      </c>
      <c r="D375" s="3473">
        <v>0.15</v>
      </c>
      <c r="E375" s="3473">
        <v>0.15</v>
      </c>
      <c r="F375" s="3473">
        <v>0.13</v>
      </c>
      <c r="G375" s="3474">
        <v>0.15</v>
      </c>
    </row>
    <row r="376" spans="1:7">
      <c r="A376" s="3483" t="s">
        <v>3171</v>
      </c>
      <c r="B376" s="3472" t="s">
        <v>1126</v>
      </c>
      <c r="C376" s="3473">
        <v>0.15</v>
      </c>
      <c r="D376" s="3473">
        <v>0.15</v>
      </c>
      <c r="E376" s="3473">
        <v>0.15</v>
      </c>
      <c r="F376" s="3473">
        <v>0.14199999999999999</v>
      </c>
      <c r="G376" s="3474">
        <v>0.15</v>
      </c>
    </row>
    <row r="377" spans="1:7" ht="15" thickBot="1">
      <c r="A377" s="3486" t="s">
        <v>3171</v>
      </c>
      <c r="B377" s="3476" t="s">
        <v>3022</v>
      </c>
      <c r="C377" s="3477">
        <v>0.15</v>
      </c>
      <c r="D377" s="3477">
        <v>0.15</v>
      </c>
      <c r="E377" s="3477">
        <v>0.15</v>
      </c>
      <c r="F377" s="3477">
        <v>0.14000000000000001</v>
      </c>
      <c r="G377" s="3479">
        <v>0.15</v>
      </c>
    </row>
    <row r="378" spans="1:7">
      <c r="A378" s="3482" t="s">
        <v>3181</v>
      </c>
      <c r="B378" s="3468" t="s">
        <v>3182</v>
      </c>
      <c r="C378" s="3469">
        <v>0.15</v>
      </c>
      <c r="D378" s="3469">
        <v>0.15</v>
      </c>
      <c r="E378" s="3469">
        <v>0.15</v>
      </c>
      <c r="F378" s="3469">
        <v>0.107</v>
      </c>
      <c r="G378" s="3470">
        <v>0.15</v>
      </c>
    </row>
    <row r="379" spans="1:7">
      <c r="A379" s="3483" t="s">
        <v>3181</v>
      </c>
      <c r="B379" s="3472" t="s">
        <v>3183</v>
      </c>
      <c r="C379" s="3473">
        <v>0.15</v>
      </c>
      <c r="D379" s="3473">
        <v>0.15</v>
      </c>
      <c r="E379" s="3473">
        <v>0.15</v>
      </c>
      <c r="F379" s="3473">
        <v>0.115</v>
      </c>
      <c r="G379" s="3474">
        <v>0.14899999999999999</v>
      </c>
    </row>
    <row r="380" spans="1:7">
      <c r="A380" s="3483" t="s">
        <v>3184</v>
      </c>
      <c r="B380" s="3472" t="s">
        <v>3185</v>
      </c>
      <c r="C380" s="3473">
        <v>0.15</v>
      </c>
      <c r="D380" s="3473">
        <v>0.15</v>
      </c>
      <c r="E380" s="3473">
        <v>0.15</v>
      </c>
      <c r="F380" s="3473">
        <v>0.1</v>
      </c>
      <c r="G380" s="3474">
        <v>0.14799999999999999</v>
      </c>
    </row>
    <row r="381" spans="1:7">
      <c r="A381" s="3483" t="s">
        <v>3184</v>
      </c>
      <c r="B381" s="3472" t="s">
        <v>3186</v>
      </c>
      <c r="C381" s="3473">
        <v>0.15</v>
      </c>
      <c r="D381" s="3473">
        <v>0.15</v>
      </c>
      <c r="E381" s="3473">
        <v>0.15</v>
      </c>
      <c r="F381" s="3473">
        <v>0.126</v>
      </c>
      <c r="G381" s="3474">
        <v>0.15</v>
      </c>
    </row>
    <row r="382" spans="1:7">
      <c r="A382" s="3483" t="s">
        <v>3184</v>
      </c>
      <c r="B382" s="3472" t="s">
        <v>3187</v>
      </c>
      <c r="C382" s="3473">
        <v>0.15</v>
      </c>
      <c r="D382" s="3473">
        <v>0.15</v>
      </c>
      <c r="E382" s="3473">
        <v>0.15</v>
      </c>
      <c r="F382" s="3473">
        <v>0.15</v>
      </c>
      <c r="G382" s="3474">
        <v>0.15</v>
      </c>
    </row>
    <row r="383" spans="1:7">
      <c r="A383" s="3483" t="s">
        <v>3184</v>
      </c>
      <c r="B383" s="3472" t="s">
        <v>3188</v>
      </c>
      <c r="C383" s="3473">
        <v>0.15</v>
      </c>
      <c r="D383" s="3473">
        <v>0.15</v>
      </c>
      <c r="E383" s="3473">
        <v>0.15</v>
      </c>
      <c r="F383" s="3473">
        <v>0.14699999999999999</v>
      </c>
      <c r="G383" s="3474">
        <v>0.15</v>
      </c>
    </row>
    <row r="384" spans="1:7" ht="15" thickBot="1">
      <c r="A384" s="3493" t="s">
        <v>3184</v>
      </c>
      <c r="B384" s="3494" t="s">
        <v>3189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95" t="s">
        <v>1858</v>
      </c>
      <c r="C1" s="3995"/>
      <c r="D1" s="3995"/>
      <c r="E1" s="3995"/>
      <c r="F1" s="3995"/>
      <c r="G1" s="3994" t="s">
        <v>1859</v>
      </c>
      <c r="H1" s="3994"/>
      <c r="I1" s="3994"/>
      <c r="J1" s="3994"/>
      <c r="K1" s="3994"/>
      <c r="L1" s="3994"/>
      <c r="N1" s="3994" t="s">
        <v>1860</v>
      </c>
      <c r="O1" s="3994"/>
      <c r="P1" s="3994"/>
      <c r="Q1" s="3994"/>
      <c r="S1" s="3994" t="s">
        <v>1861</v>
      </c>
      <c r="T1" s="3994"/>
      <c r="U1" s="3994"/>
      <c r="V1" s="3994"/>
      <c r="X1" s="3993" t="s">
        <v>1921</v>
      </c>
      <c r="Y1" s="3994"/>
      <c r="Z1" s="3994"/>
      <c r="AA1" s="3994"/>
      <c r="AB1" s="3994"/>
      <c r="AD1" s="3993" t="s">
        <v>1925</v>
      </c>
      <c r="AE1" s="3994"/>
      <c r="AF1" s="3994"/>
      <c r="AG1" s="3994"/>
      <c r="AH1" s="3994"/>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8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8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8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90"/>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8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8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90"/>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2"/>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91">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2"/>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91">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2"/>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96">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7"/>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97"/>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98"/>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91">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8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8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92"/>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91">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8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92">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91">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8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92">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91">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8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92">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91">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8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92">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91">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8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92">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91">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8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92">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91">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8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92">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91">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8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92">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91">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89">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89">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92">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91">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89">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89">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92">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8">
        <f>基准地价!G23</f>
        <v>45597</v>
      </c>
      <c r="B1" s="3346" t="s">
        <v>2793</v>
      </c>
      <c r="C1" s="3347"/>
      <c r="D1" s="3347"/>
      <c r="E1" s="3347"/>
      <c r="F1" s="3347"/>
      <c r="G1" s="3347"/>
      <c r="H1" s="3347"/>
      <c r="I1" s="3347"/>
      <c r="J1" s="3348"/>
      <c r="K1" s="3347" t="s">
        <v>2794</v>
      </c>
      <c r="L1" s="3347"/>
      <c r="M1" s="3347"/>
      <c r="N1" s="3347"/>
      <c r="O1" s="3347"/>
      <c r="P1" s="3347"/>
      <c r="Q1" s="3348"/>
      <c r="R1" s="3999" t="s">
        <v>2803</v>
      </c>
      <c r="S1" s="4000"/>
      <c r="T1" s="4000"/>
      <c r="U1" s="4000"/>
      <c r="V1" s="4000"/>
      <c r="W1" s="4000"/>
      <c r="X1" s="3348"/>
      <c r="Y1" s="3999" t="s">
        <v>2814</v>
      </c>
      <c r="Z1" s="4000"/>
      <c r="AA1" s="4000"/>
      <c r="AB1" s="4000"/>
      <c r="AC1" s="4000"/>
      <c r="AD1" s="4000"/>
    </row>
    <row r="2" spans="1:30" ht="15" thickBot="1">
      <c r="A2" s="3339"/>
      <c r="B2" s="3349"/>
      <c r="C2" s="3350"/>
      <c r="D2" s="3351" t="s">
        <v>2796</v>
      </c>
      <c r="E2" s="3352" t="s">
        <v>2797</v>
      </c>
      <c r="F2" s="3352" t="s">
        <v>2798</v>
      </c>
      <c r="G2" s="3352" t="s">
        <v>2799</v>
      </c>
      <c r="H2" s="3352" t="s">
        <v>2800</v>
      </c>
      <c r="I2" s="3352" t="s">
        <v>2741</v>
      </c>
      <c r="J2" s="3353"/>
      <c r="K2" s="3351" t="s">
        <v>2796</v>
      </c>
      <c r="L2" s="3352" t="s">
        <v>2797</v>
      </c>
      <c r="M2" s="3352" t="s">
        <v>2798</v>
      </c>
      <c r="N2" s="3352" t="s">
        <v>2799</v>
      </c>
      <c r="O2" s="3352" t="s">
        <v>2800</v>
      </c>
      <c r="P2" s="3352" t="s">
        <v>2741</v>
      </c>
      <c r="Q2" s="3353"/>
      <c r="R2" s="3351" t="s">
        <v>2804</v>
      </c>
      <c r="S2" s="3352" t="s">
        <v>2805</v>
      </c>
      <c r="T2" s="3352" t="s">
        <v>2806</v>
      </c>
      <c r="U2" s="3352" t="s">
        <v>2807</v>
      </c>
      <c r="V2" s="3352" t="s">
        <v>2808</v>
      </c>
      <c r="W2" s="3352" t="s">
        <v>2809</v>
      </c>
      <c r="X2" s="3353"/>
      <c r="Y2" s="3351" t="s">
        <v>2796</v>
      </c>
      <c r="Z2" s="3352" t="s">
        <v>1470</v>
      </c>
      <c r="AA2" s="3352" t="s">
        <v>2815</v>
      </c>
      <c r="AB2" s="3352" t="s">
        <v>1469</v>
      </c>
      <c r="AC2" s="3352" t="s">
        <v>2800</v>
      </c>
      <c r="AD2" s="3352" t="s">
        <v>2458</v>
      </c>
    </row>
    <row r="3" spans="1:30">
      <c r="A3" s="3340" t="s">
        <v>2784</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1" t="s">
        <v>3261</v>
      </c>
      <c r="B5" s="3401">
        <v>2024</v>
      </c>
      <c r="C5" s="3402">
        <v>2</v>
      </c>
      <c r="D5" s="3402">
        <v>0</v>
      </c>
      <c r="E5" s="3402">
        <v>0</v>
      </c>
      <c r="F5" s="3402">
        <v>0</v>
      </c>
      <c r="G5" s="3402">
        <v>0</v>
      </c>
      <c r="H5" s="3402">
        <v>0</v>
      </c>
      <c r="I5" s="3403">
        <f t="shared" ref="I5:I18"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1.0908</v>
      </c>
      <c r="S5" s="3379">
        <f>ROUND(IF(项目基本情况!$B$8="出让",SUMPRODUCT(PRODUCT(1+L5:$L$18)),SUMPRODUCT(PRODUCT(1+L5:$L$17))),4)</f>
        <v>1.0488</v>
      </c>
      <c r="T5" s="3379">
        <f>ROUND(IF(项目基本情况!$B$8="出让",SUMPRODUCT(PRODUCT(1+M5:$M$18)),SUMPRODUCT(PRODUCT(1+M5:$M$17))),4)</f>
        <v>1.024</v>
      </c>
      <c r="U5" s="3379">
        <f>ROUND(IF(项目基本情况!$B$8="出让",SUMPRODUCT(PRODUCT(1+N5:$N$18)),SUMPRODUCT(PRODUCT(1+N5:$N$17))),4)</f>
        <v>1.0980000000000001</v>
      </c>
      <c r="V5" s="3379">
        <f>ROUND(IF(项目基本情况!$B$8="出让",SUMPRODUCT(PRODUCT(1+O5:$O$18)),SUMPRODUCT(PRODUCT(1+O5:$O$17))),4)</f>
        <v>1.0779000000000001</v>
      </c>
      <c r="W5" s="3379">
        <f>T5</f>
        <v>1.024</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1" t="s">
        <v>3262</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1.0908</v>
      </c>
      <c r="S6" s="3379">
        <f>ROUND(IF(项目基本情况!$B$8="出让",SUMPRODUCT(PRODUCT(1+L6:$L$18)),SUMPRODUCT(PRODUCT(1+L6:$L$17))),4)</f>
        <v>1.0488</v>
      </c>
      <c r="T6" s="3379">
        <f>ROUND(IF(项目基本情况!$B$8="出让",SUMPRODUCT(PRODUCT(1+M6:$M$18)),SUMPRODUCT(PRODUCT(1+M6:$M$17))),4)</f>
        <v>1.024</v>
      </c>
      <c r="U6" s="3379">
        <f>ROUND(IF(项目基本情况!$B$8="出让",SUMPRODUCT(PRODUCT(1+N6:$N$18)),SUMPRODUCT(PRODUCT(1+N6:$N$17))),4)</f>
        <v>1.0980000000000001</v>
      </c>
      <c r="V6" s="3379">
        <f>ROUND(IF(项目基本情况!$B$8="出让",SUMPRODUCT(PRODUCT(1+O6:$O$18)),SUMPRODUCT(PRODUCT(1+O6:$O$17))),4)</f>
        <v>1.0779000000000001</v>
      </c>
      <c r="W6" s="3379">
        <f t="shared" ref="W6" si="9">T6</f>
        <v>1.024</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343" t="s">
        <v>3263</v>
      </c>
      <c r="B7" s="3404">
        <v>2023</v>
      </c>
      <c r="C7" s="3405">
        <v>4</v>
      </c>
      <c r="D7" s="3405">
        <v>0.19</v>
      </c>
      <c r="E7" s="3405">
        <v>0.24</v>
      </c>
      <c r="F7" s="3405">
        <v>-0.16</v>
      </c>
      <c r="G7" s="3405">
        <v>0.17</v>
      </c>
      <c r="H7" s="3406">
        <v>0.61</v>
      </c>
      <c r="I7" s="3407">
        <f t="shared" ref="I7" si="16">F7</f>
        <v>-0.16</v>
      </c>
      <c r="J7" s="3366"/>
      <c r="K7" s="3367">
        <f t="shared" si="1"/>
        <v>1.9E-3</v>
      </c>
      <c r="L7" s="3368">
        <f t="shared" si="1"/>
        <v>2.3999999999999998E-3</v>
      </c>
      <c r="M7" s="3368">
        <f t="shared" si="1"/>
        <v>-1.6000000000000001E-3</v>
      </c>
      <c r="N7" s="3368">
        <f t="shared" si="1"/>
        <v>1.7000000000000001E-3</v>
      </c>
      <c r="O7" s="3368">
        <f t="shared" si="1"/>
        <v>6.0999999999999995E-3</v>
      </c>
      <c r="P7" s="3368">
        <f t="shared" ref="P7" si="17">M7</f>
        <v>-1.6000000000000001E-3</v>
      </c>
      <c r="Q7" s="3366"/>
      <c r="R7" s="3366">
        <f>ROUND(IF(项目基本情况!$B$8="出让",SUMPRODUCT(PRODUCT(1+K7:$K$18)),SUMPRODUCT(PRODUCT(1+K7:$K$17))),4)</f>
        <v>1.0908</v>
      </c>
      <c r="S7" s="3366">
        <f>ROUND(IF(项目基本情况!$B$8="出让",SUMPRODUCT(PRODUCT(1+L7:$L$18)),SUMPRODUCT(PRODUCT(1+L7:$L$17))),4)</f>
        <v>1.0488</v>
      </c>
      <c r="T7" s="3366">
        <f>ROUND(IF(项目基本情况!$B$8="出让",SUMPRODUCT(PRODUCT(1+M7:$M$18)),SUMPRODUCT(PRODUCT(1+M7:$M$17))),4)</f>
        <v>1.024</v>
      </c>
      <c r="U7" s="3366">
        <f>ROUND(IF(项目基本情况!$B$8="出让",SUMPRODUCT(PRODUCT(1+N7:$N$18)),SUMPRODUCT(PRODUCT(1+N7:$N$17))),4)</f>
        <v>1.0980000000000001</v>
      </c>
      <c r="V7" s="3366">
        <f>ROUND(IF(项目基本情况!$B$8="出让",SUMPRODUCT(PRODUCT(1+O7:$O$18)),SUMPRODUCT(PRODUCT(1+O7:$O$17))),4)</f>
        <v>1.0779000000000001</v>
      </c>
      <c r="W7" s="3366">
        <f t="shared" ref="W7" si="18">T7</f>
        <v>1.024</v>
      </c>
      <c r="X7" s="3366"/>
      <c r="Y7" s="3368">
        <f t="shared" ref="Y7" si="19">IF(D7=0,0,ROUND(AVERAGE(D7:D18)/100,4))</f>
        <v>7.3000000000000001E-3</v>
      </c>
      <c r="Z7" s="3368">
        <f t="shared" ref="Z7" si="20">IF(E7=0,0,ROUND(AVERAGE(E7:E18)/100,4))</f>
        <v>4.0000000000000001E-3</v>
      </c>
      <c r="AA7" s="3368">
        <f t="shared" ref="AA7" si="21">IF(F7=0,0,ROUND(AVERAGE(F7:F18)/100,4))</f>
        <v>2E-3</v>
      </c>
      <c r="AB7" s="3368">
        <f t="shared" ref="AB7" si="22">IF(G7=0,0,ROUND(AVERAGE(G7:G18)/100,4))</f>
        <v>7.7999999999999996E-3</v>
      </c>
      <c r="AC7" s="3368">
        <f t="shared" ref="AC7" si="23">IF(H7=0,0,ROUND(AVERAGE(H7:H18)/100,4))</f>
        <v>6.3E-3</v>
      </c>
      <c r="AD7" s="3368">
        <f t="shared" si="2"/>
        <v>2E-3</v>
      </c>
    </row>
    <row r="8" spans="1:30">
      <c r="A8" s="3342" t="s">
        <v>3264</v>
      </c>
      <c r="B8" s="3401">
        <v>2023</v>
      </c>
      <c r="C8" s="3402">
        <v>3</v>
      </c>
      <c r="D8" s="3402">
        <v>0.25</v>
      </c>
      <c r="E8" s="3402">
        <v>0.5</v>
      </c>
      <c r="F8" s="3402">
        <v>0.31</v>
      </c>
      <c r="G8" s="3402">
        <v>0.21</v>
      </c>
      <c r="H8" s="3408">
        <v>0.43</v>
      </c>
      <c r="I8" s="3403">
        <f t="shared" si="0"/>
        <v>0.31</v>
      </c>
      <c r="J8" s="3363"/>
      <c r="K8" s="3364">
        <f t="shared" ref="K8:K10" si="24">D8/100</f>
        <v>2.5000000000000001E-3</v>
      </c>
      <c r="L8" s="3365">
        <f t="shared" ref="L8:L10" si="25">E8/100</f>
        <v>5.0000000000000001E-3</v>
      </c>
      <c r="M8" s="3365">
        <f t="shared" ref="M8:M10" si="26">F8/100</f>
        <v>3.0999999999999999E-3</v>
      </c>
      <c r="N8" s="3365">
        <f t="shared" ref="N8:N10" si="27">G8/100</f>
        <v>2.0999999999999999E-3</v>
      </c>
      <c r="O8" s="3365">
        <f t="shared" ref="O8:O10" si="28">H8/100</f>
        <v>4.3E-3</v>
      </c>
      <c r="P8" s="3365">
        <f t="shared" ref="P8:P10" si="29">M8</f>
        <v>3.0999999999999999E-3</v>
      </c>
      <c r="Q8" s="3363"/>
      <c r="R8" s="3379">
        <f>ROUND(IF(项目基本情况!$B$8="出让",SUMPRODUCT(PRODUCT(1+K8:$K$18)),SUMPRODUCT(PRODUCT(1+K8:$K$17))),4)</f>
        <v>1.0888</v>
      </c>
      <c r="S8" s="3379">
        <f>ROUND(IF(项目基本情况!$B$8="出让",SUMPRODUCT(PRODUCT(1+L8:$L$18)),SUMPRODUCT(PRODUCT(1+L8:$L$17))),4)</f>
        <v>1.0463</v>
      </c>
      <c r="T8" s="3379">
        <f>ROUND(IF(项目基本情况!$B$8="出让",SUMPRODUCT(PRODUCT(1+M8:$M$18)),SUMPRODUCT(PRODUCT(1+M8:$M$17))),4)</f>
        <v>1.0257000000000001</v>
      </c>
      <c r="U8" s="3379">
        <f>ROUND(IF(项目基本情况!$B$8="出让",SUMPRODUCT(PRODUCT(1+N8:$N$18)),SUMPRODUCT(PRODUCT(1+N8:$N$17))),4)</f>
        <v>1.0961000000000001</v>
      </c>
      <c r="V8" s="3379">
        <f>ROUND(IF(项目基本情况!$B$8="出让",SUMPRODUCT(PRODUCT(1+O8:$O$18)),SUMPRODUCT(PRODUCT(1+O8:$O$17))),4)</f>
        <v>1.0713999999999999</v>
      </c>
      <c r="W8" s="3379">
        <f t="shared" ref="W8:W10" si="30">T8</f>
        <v>1.0257000000000001</v>
      </c>
      <c r="X8" s="3363"/>
      <c r="Y8" s="3388">
        <f t="shared" ref="Y8:AC8" si="31">IF(D8=0,0,ROUND(AVERAGE(D8:D19)/100,4))</f>
        <v>7.7999999999999996E-3</v>
      </c>
      <c r="Z8" s="3388">
        <f t="shared" si="31"/>
        <v>4.1000000000000003E-3</v>
      </c>
      <c r="AA8" s="3388">
        <f t="shared" si="31"/>
        <v>2.3E-3</v>
      </c>
      <c r="AB8" s="3388">
        <f t="shared" si="31"/>
        <v>8.3999999999999995E-3</v>
      </c>
      <c r="AC8" s="3388">
        <f t="shared" si="31"/>
        <v>6.3E-3</v>
      </c>
      <c r="AD8" s="3388">
        <f t="shared" ref="AD8:AD10" si="32">AA8</f>
        <v>2.3E-3</v>
      </c>
    </row>
    <row r="9" spans="1:30">
      <c r="A9" s="3342" t="s">
        <v>3259</v>
      </c>
      <c r="B9" s="3401">
        <v>2023</v>
      </c>
      <c r="C9" s="3402">
        <v>2</v>
      </c>
      <c r="D9" s="3402">
        <v>0.91</v>
      </c>
      <c r="E9" s="3402">
        <v>0.66</v>
      </c>
      <c r="F9" s="3402">
        <v>0.47</v>
      </c>
      <c r="G9" s="3402">
        <v>0.96</v>
      </c>
      <c r="H9" s="3408">
        <v>0.71</v>
      </c>
      <c r="I9" s="3403">
        <f t="shared" si="0"/>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1.0860000000000001</v>
      </c>
      <c r="S9" s="3379">
        <f>ROUND(IF(项目基本情况!$B$8="出让",SUMPRODUCT(PRODUCT(1+L9:$L$18)),SUMPRODUCT(PRODUCT(1+L9:$L$17))),4)</f>
        <v>1.0410999999999999</v>
      </c>
      <c r="T9" s="3379">
        <f>ROUND(IF(项目基本情况!$B$8="出让",SUMPRODUCT(PRODUCT(1+M9:$M$18)),SUMPRODUCT(PRODUCT(1+M9:$M$17))),4)</f>
        <v>1.0225</v>
      </c>
      <c r="U9" s="3379">
        <f>ROUND(IF(项目基本情况!$B$8="出让",SUMPRODUCT(PRODUCT(1+N9:$N$18)),SUMPRODUCT(PRODUCT(1+N9:$N$17))),4)</f>
        <v>1.0938000000000001</v>
      </c>
      <c r="V9" s="3379">
        <f>ROUND(IF(项目基本情况!$B$8="出让",SUMPRODUCT(PRODUCT(1+O9:$O$18)),SUMPRODUCT(PRODUCT(1+O9:$O$17))),4)</f>
        <v>1.0668</v>
      </c>
      <c r="W9" s="3379">
        <f t="shared" si="30"/>
        <v>1.0225</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3257</v>
      </c>
      <c r="B10" s="3401">
        <v>2023</v>
      </c>
      <c r="C10" s="3402">
        <v>1</v>
      </c>
      <c r="D10" s="3402">
        <v>0.89</v>
      </c>
      <c r="E10" s="3402">
        <v>0.74</v>
      </c>
      <c r="F10" s="3402">
        <v>0.56999999999999995</v>
      </c>
      <c r="G10" s="3402">
        <v>0.92</v>
      </c>
      <c r="H10" s="3408">
        <v>0.5</v>
      </c>
      <c r="I10" s="3403">
        <f t="shared" si="0"/>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1.0763</v>
      </c>
      <c r="S10" s="3379">
        <f>ROUND(IF(项目基本情况!$B$8="出让",SUMPRODUCT(PRODUCT(1+L10:$L$18)),SUMPRODUCT(PRODUCT(1+L10:$L$17))),4)</f>
        <v>1.0343</v>
      </c>
      <c r="T10" s="3379">
        <f>ROUND(IF(项目基本情况!$B$8="出让",SUMPRODUCT(PRODUCT(1+M10:$M$18)),SUMPRODUCT(PRODUCT(1+M10:$M$17))),4)</f>
        <v>1.0177</v>
      </c>
      <c r="U10" s="3379">
        <f>ROUND(IF(项目基本情况!$B$8="出让",SUMPRODUCT(PRODUCT(1+N10:$N$18)),SUMPRODUCT(PRODUCT(1+N10:$N$17))),4)</f>
        <v>1.0833999999999999</v>
      </c>
      <c r="V10" s="3379">
        <f>ROUND(IF(项目基本情况!$B$8="出让",SUMPRODUCT(PRODUCT(1+O10:$O$18)),SUMPRODUCT(PRODUCT(1+O10:$O$17))),4)</f>
        <v>1.0592999999999999</v>
      </c>
      <c r="W10" s="3379">
        <f t="shared" si="30"/>
        <v>1.0177</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3255</v>
      </c>
      <c r="B11" s="3401">
        <v>2022</v>
      </c>
      <c r="C11" s="3402">
        <v>4</v>
      </c>
      <c r="D11" s="3402">
        <v>0.62</v>
      </c>
      <c r="E11" s="3402">
        <v>0.2</v>
      </c>
      <c r="F11" s="3402">
        <v>0.11</v>
      </c>
      <c r="G11" s="3402">
        <v>0.69</v>
      </c>
      <c r="H11" s="3408">
        <v>0.53</v>
      </c>
      <c r="I11" s="3403">
        <f t="shared" si="0"/>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1.0668</v>
      </c>
      <c r="S11" s="3379">
        <f>ROUND(IF(项目基本情况!B8="出让",SUMPRODUCT(PRODUCT(1+L11:L18)),SUMPRODUCT(PRODUCT(1+L11:L17))),4)</f>
        <v>1.0266999999999999</v>
      </c>
      <c r="T11" s="3379">
        <f>ROUND(IF(项目基本情况!B8="出让",SUMPRODUCT(PRODUCT(1+M11:M18)),SUMPRODUCT(PRODUCT(1+M11:M17))),4)</f>
        <v>1.0119</v>
      </c>
      <c r="U11" s="3379">
        <f>ROUND(IF(项目基本情况!B8="出让",SUMPRODUCT(PRODUCT(1+N11:N18)),SUMPRODUCT(PRODUCT(1+N11:N17))),4)</f>
        <v>1.0734999999999999</v>
      </c>
      <c r="V11" s="3379">
        <f>ROUND(IF(项目基本情况!B8="出让",SUMPRODUCT(PRODUCT(1+O11:O18)),SUMPRODUCT(PRODUCT(1+O11:O17))),4)</f>
        <v>1.054</v>
      </c>
      <c r="W11" s="3379">
        <f t="shared" ref="W11:W18" si="36">T11</f>
        <v>1.0119</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3250</v>
      </c>
      <c r="B12" s="3401">
        <v>2022</v>
      </c>
      <c r="C12" s="3402">
        <v>3</v>
      </c>
      <c r="D12" s="3402">
        <v>0.66</v>
      </c>
      <c r="E12" s="3402">
        <v>0.32</v>
      </c>
      <c r="F12" s="3402">
        <v>0.23</v>
      </c>
      <c r="G12" s="3402">
        <v>0.72</v>
      </c>
      <c r="H12" s="3408">
        <v>0.63</v>
      </c>
      <c r="I12" s="3403">
        <f t="shared" si="0"/>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1.0602</v>
      </c>
      <c r="S12" s="3379">
        <f>ROUND(IF(项目基本情况!B8="出让",SUMPRODUCT(PRODUCT(1+L12:L18)),SUMPRODUCT(PRODUCT(1+L12:L17))),4)</f>
        <v>1.0246</v>
      </c>
      <c r="T12" s="3379">
        <f>ROUND(IF(项目基本情况!B8="出让",SUMPRODUCT(PRODUCT(1+M12:M18)),SUMPRODUCT(PRODUCT(1+M12:M17))),4)</f>
        <v>1.0107999999999999</v>
      </c>
      <c r="U12" s="3379">
        <f>ROUND(IF(项目基本情况!B8="出让",SUMPRODUCT(PRODUCT(1+N12:N18)),SUMPRODUCT(PRODUCT(1+N12:N17))),4)</f>
        <v>1.0662</v>
      </c>
      <c r="V12" s="3379">
        <f>ROUND(IF(项目基本情况!B8="出让",SUMPRODUCT(PRODUCT(1+O12:O18)),SUMPRODUCT(PRODUCT(1+O12:O17))),4)</f>
        <v>1.0485</v>
      </c>
      <c r="W12" s="3379">
        <f t="shared" si="36"/>
        <v>1.0107999999999999</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3251</v>
      </c>
      <c r="B13" s="3401">
        <v>2022</v>
      </c>
      <c r="C13" s="3402">
        <v>2</v>
      </c>
      <c r="D13" s="3402">
        <v>0.93</v>
      </c>
      <c r="E13" s="3402">
        <v>0.15</v>
      </c>
      <c r="F13" s="3402">
        <v>0.01</v>
      </c>
      <c r="G13" s="3402">
        <v>1.05</v>
      </c>
      <c r="H13" s="3408">
        <v>1.08</v>
      </c>
      <c r="I13" s="3403">
        <f t="shared" si="0"/>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1.0531999999999999</v>
      </c>
      <c r="S13" s="3379">
        <f>ROUND(IF(项目基本情况!B8="出让",SUMPRODUCT(PRODUCT(1+L13:L18)),SUMPRODUCT(PRODUCT(1+L13:L17))),4)</f>
        <v>1.0214000000000001</v>
      </c>
      <c r="T13" s="3379">
        <f>ROUND(IF(项目基本情况!B8="出让",SUMPRODUCT(PRODUCT(1+M13:M18)),SUMPRODUCT(PRODUCT(1+M13:M17))),4)</f>
        <v>1.0085</v>
      </c>
      <c r="U13" s="3379">
        <f>ROUND(IF(项目基本情况!B8="出让",SUMPRODUCT(PRODUCT(1+N13:N18)),SUMPRODUCT(PRODUCT(1+N13:N17))),4)</f>
        <v>1.0586</v>
      </c>
      <c r="V13" s="3379">
        <f>ROUND(IF(项目基本情况!B8="出让",SUMPRODUCT(PRODUCT(1+O13:O18)),SUMPRODUCT(PRODUCT(1+O13:O17))),4)</f>
        <v>1.0419</v>
      </c>
      <c r="W13" s="3379">
        <f t="shared" si="36"/>
        <v>1.0085</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2785</v>
      </c>
      <c r="B14" s="3401">
        <v>2022</v>
      </c>
      <c r="C14" s="3402">
        <v>1</v>
      </c>
      <c r="D14" s="3402">
        <v>0.89</v>
      </c>
      <c r="E14" s="3402">
        <v>0.44</v>
      </c>
      <c r="F14" s="3402">
        <v>0.37</v>
      </c>
      <c r="G14" s="3402">
        <v>0.96</v>
      </c>
      <c r="H14" s="3408">
        <v>0.64</v>
      </c>
      <c r="I14" s="3403">
        <f t="shared" si="0"/>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1.0435000000000001</v>
      </c>
      <c r="S14" s="3379">
        <f>ROUND(IF(项目基本情况!B8="出让",SUMPRODUCT(PRODUCT(1+L14:L18)),SUMPRODUCT(PRODUCT(1+L14:L17))),4)</f>
        <v>1.0198</v>
      </c>
      <c r="T14" s="3379">
        <f>ROUND(IF(项目基本情况!B8="出让",SUMPRODUCT(PRODUCT(1+M14:M18)),SUMPRODUCT(PRODUCT(1+M14:M17))),4)</f>
        <v>1.0084</v>
      </c>
      <c r="U14" s="3379">
        <f>ROUND(IF(项目基本情况!B8="出让",SUMPRODUCT(PRODUCT(1+N14:N18)),SUMPRODUCT(PRODUCT(1+N14:N17))),4)</f>
        <v>1.0476000000000001</v>
      </c>
      <c r="V14" s="3379">
        <f>ROUND(IF(项目基本情况!B8="出让",SUMPRODUCT(PRODUCT(1+O14:O18)),SUMPRODUCT(PRODUCT(1+O14:O17))),4)</f>
        <v>1.0307999999999999</v>
      </c>
      <c r="W14" s="3379">
        <f t="shared" si="36"/>
        <v>1.0084</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2786</v>
      </c>
      <c r="B15" s="3401">
        <v>2021</v>
      </c>
      <c r="C15" s="3402">
        <v>4</v>
      </c>
      <c r="D15" s="3402">
        <v>1.03</v>
      </c>
      <c r="E15" s="3402">
        <v>0.24</v>
      </c>
      <c r="F15" s="3402">
        <v>7.0000000000000007E-2</v>
      </c>
      <c r="G15" s="3402">
        <v>1.17</v>
      </c>
      <c r="H15" s="3408">
        <v>0.55000000000000004</v>
      </c>
      <c r="I15" s="3403">
        <f t="shared" si="0"/>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1.0343</v>
      </c>
      <c r="S15" s="3379">
        <f>ROUND(IF(项目基本情况!B8="出让",SUMPRODUCT(PRODUCT(1+L15:L18)),SUMPRODUCT(PRODUCT(1+L15:L17))),4)</f>
        <v>1.0154000000000001</v>
      </c>
      <c r="T15" s="3379">
        <f>ROUND(IF(项目基本情况!B8="出让",SUMPRODUCT(PRODUCT(1+M15:M18)),SUMPRODUCT(PRODUCT(1+M15:M17))),4)</f>
        <v>1.0046999999999999</v>
      </c>
      <c r="U15" s="3379">
        <f>ROUND(IF(项目基本情况!B8="出让",SUMPRODUCT(PRODUCT(1+N15:N18)),SUMPRODUCT(PRODUCT(1+N15:N17))),4)</f>
        <v>1.0376000000000001</v>
      </c>
      <c r="V15" s="3379">
        <f>ROUND(IF(项目基本情况!B8="出让",SUMPRODUCT(PRODUCT(1+O15:O18)),SUMPRODUCT(PRODUCT(1+O15:O17))),4)</f>
        <v>1.0242</v>
      </c>
      <c r="W15" s="3379">
        <f t="shared" si="36"/>
        <v>1.0046999999999999</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2787</v>
      </c>
      <c r="B16" s="3401">
        <v>2021</v>
      </c>
      <c r="C16" s="3402">
        <v>3</v>
      </c>
      <c r="D16" s="3402">
        <v>0.47</v>
      </c>
      <c r="E16" s="3402">
        <v>0.41</v>
      </c>
      <c r="F16" s="3402">
        <v>0.24</v>
      </c>
      <c r="G16" s="3402">
        <v>0.48</v>
      </c>
      <c r="H16" s="3408">
        <v>0.48</v>
      </c>
      <c r="I16" s="3403">
        <f t="shared" si="0"/>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1.0238</v>
      </c>
      <c r="S16" s="3379">
        <f>ROUND(IF(项目基本情况!B8="出让",SUMPRODUCT(PRODUCT(1+L16:L18)),SUMPRODUCT(PRODUCT(1+L16:L17))),4)</f>
        <v>1.0128999999999999</v>
      </c>
      <c r="T16" s="3379">
        <f>ROUND(IF(项目基本情况!B8="出让",SUMPRODUCT(PRODUCT(1+M16:M18)),SUMPRODUCT(PRODUCT(1+M16:M17))),4)</f>
        <v>1.004</v>
      </c>
      <c r="U16" s="3379">
        <f>ROUND(IF(项目基本情况!B8="出让",SUMPRODUCT(PRODUCT(1+N16:N18)),SUMPRODUCT(PRODUCT(1+N16:N17))),4)</f>
        <v>1.0256000000000001</v>
      </c>
      <c r="V16" s="3379">
        <f>ROUND(IF(项目基本情况!B8="出让",SUMPRODUCT(PRODUCT(1+O16:O18)),SUMPRODUCT(PRODUCT(1+O16:O17))),4)</f>
        <v>1.0185999999999999</v>
      </c>
      <c r="W16" s="3379">
        <f t="shared" si="36"/>
        <v>1.004</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2788</v>
      </c>
      <c r="B17" s="3401">
        <v>2021</v>
      </c>
      <c r="C17" s="3402">
        <v>2</v>
      </c>
      <c r="D17" s="3402">
        <v>0.92</v>
      </c>
      <c r="E17" s="3402">
        <v>0.72</v>
      </c>
      <c r="F17" s="3402">
        <v>0.41</v>
      </c>
      <c r="G17" s="3402">
        <v>0.95</v>
      </c>
      <c r="H17" s="3408">
        <v>1.01</v>
      </c>
      <c r="I17" s="3403">
        <f t="shared" si="0"/>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1.0189999999999999</v>
      </c>
      <c r="S17" s="3379">
        <f>ROUND(IF(项目基本情况!B8="出让",SUMPRODUCT(PRODUCT(1+L17:L18)),SUMPRODUCT(PRODUCT(1+L17:L17))),4)</f>
        <v>1.0087999999999999</v>
      </c>
      <c r="T17" s="3379">
        <f>ROUND(IF(项目基本情况!B8="出让",SUMPRODUCT(PRODUCT(1+M17:M18)),SUMPRODUCT(PRODUCT(1+M17:M17))),4)</f>
        <v>1.0016</v>
      </c>
      <c r="U17" s="3379">
        <f>ROUND(IF(项目基本情况!B8="出让",SUMPRODUCT(PRODUCT(1+N17:N18)),SUMPRODUCT(PRODUCT(1+N17:N17))),4)</f>
        <v>1.0206999999999999</v>
      </c>
      <c r="V17" s="3379">
        <f>ROUND(IF(项目基本情况!B8="出让",SUMPRODUCT(PRODUCT(1+O17:O18)),SUMPRODUCT(PRODUCT(1+O17:O17))),4)</f>
        <v>1.0137</v>
      </c>
      <c r="W17" s="3379">
        <f t="shared" si="36"/>
        <v>1.0016</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5" thickBot="1">
      <c r="A18" s="3344" t="s">
        <v>2789</v>
      </c>
      <c r="B18" s="3409">
        <v>2021</v>
      </c>
      <c r="C18" s="3410">
        <v>1</v>
      </c>
      <c r="D18" s="3410">
        <v>0.97</v>
      </c>
      <c r="E18" s="3410">
        <v>0.16</v>
      </c>
      <c r="F18" s="3410">
        <v>-0.25</v>
      </c>
      <c r="G18" s="3410">
        <v>1.1100000000000001</v>
      </c>
      <c r="H18" s="3411">
        <v>0.36</v>
      </c>
      <c r="I18" s="3412">
        <f t="shared" si="0"/>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3253</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2801</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2802</v>
      </c>
      <c r="C23" s="3347"/>
      <c r="D23" s="3347"/>
      <c r="E23" s="3347"/>
      <c r="F23" s="3347"/>
      <c r="G23" s="3347"/>
      <c r="H23" s="3347"/>
      <c r="I23" s="3347"/>
      <c r="J23" s="3348"/>
      <c r="K23" s="3347" t="s">
        <v>2794</v>
      </c>
      <c r="L23" s="3347"/>
      <c r="M23" s="3347"/>
      <c r="N23" s="3347"/>
      <c r="O23" s="3347"/>
      <c r="P23" s="3347"/>
      <c r="Q23" s="3348"/>
      <c r="R23" s="3999" t="s">
        <v>2810</v>
      </c>
      <c r="S23" s="4000"/>
      <c r="T23" s="4000"/>
      <c r="U23" s="4000"/>
      <c r="V23" s="4000"/>
      <c r="W23" s="4000"/>
      <c r="X23" s="3348"/>
      <c r="Y23" s="3999" t="s">
        <v>1925</v>
      </c>
      <c r="Z23" s="4000"/>
      <c r="AA23" s="4000"/>
      <c r="AB23" s="4000"/>
      <c r="AC23" s="4000"/>
      <c r="AD23" s="4000"/>
    </row>
    <row r="24" spans="1:30" ht="15" thickBot="1">
      <c r="A24" s="3339"/>
      <c r="B24" s="3349"/>
      <c r="C24" s="3350"/>
      <c r="D24" s="3351" t="s">
        <v>2796</v>
      </c>
      <c r="E24" s="3352" t="s">
        <v>2797</v>
      </c>
      <c r="F24" s="3352" t="s">
        <v>2798</v>
      </c>
      <c r="G24" s="3352" t="s">
        <v>1469</v>
      </c>
      <c r="H24" s="3352"/>
      <c r="I24" s="3352" t="s">
        <v>2741</v>
      </c>
      <c r="J24" s="3353"/>
      <c r="K24" s="3351" t="s">
        <v>2796</v>
      </c>
      <c r="L24" s="3352" t="s">
        <v>2797</v>
      </c>
      <c r="M24" s="3352" t="s">
        <v>2798</v>
      </c>
      <c r="N24" s="3352" t="s">
        <v>2799</v>
      </c>
      <c r="O24" s="3352"/>
      <c r="P24" s="3352" t="s">
        <v>2741</v>
      </c>
      <c r="Q24" s="3353"/>
      <c r="R24" s="3351" t="s">
        <v>2811</v>
      </c>
      <c r="S24" s="3352" t="s">
        <v>2812</v>
      </c>
      <c r="T24" s="3352" t="s">
        <v>2798</v>
      </c>
      <c r="U24" s="3352" t="s">
        <v>1469</v>
      </c>
      <c r="V24" s="3352"/>
      <c r="W24" s="3352" t="s">
        <v>2813</v>
      </c>
      <c r="X24" s="3353"/>
      <c r="Y24" s="3351" t="s">
        <v>2795</v>
      </c>
      <c r="Z24" s="3352" t="s">
        <v>2797</v>
      </c>
      <c r="AA24" s="3352" t="s">
        <v>2798</v>
      </c>
      <c r="AB24" s="3352" t="s">
        <v>1469</v>
      </c>
      <c r="AC24" s="3352"/>
      <c r="AD24" s="3352" t="s">
        <v>2816</v>
      </c>
    </row>
    <row r="25" spans="1:30">
      <c r="A25" s="3340" t="s">
        <v>2790</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1" t="s">
        <v>3261</v>
      </c>
      <c r="B27" s="3401">
        <v>2024</v>
      </c>
      <c r="C27" s="3402">
        <v>2</v>
      </c>
      <c r="D27" s="3402"/>
      <c r="E27" s="3402">
        <v>0</v>
      </c>
      <c r="F27" s="3402">
        <v>0</v>
      </c>
      <c r="G27" s="3402">
        <v>0</v>
      </c>
      <c r="H27" s="3402"/>
      <c r="I27" s="3403">
        <f t="shared" ref="I27:I40" si="37">F27</f>
        <v>0</v>
      </c>
      <c r="J27" s="3363"/>
      <c r="K27" s="3364"/>
      <c r="L27" s="3365">
        <f t="shared" ref="L27:N40" si="38">E27/100</f>
        <v>0</v>
      </c>
      <c r="M27" s="3365">
        <f t="shared" si="38"/>
        <v>0</v>
      </c>
      <c r="N27" s="3365">
        <f t="shared" si="38"/>
        <v>0</v>
      </c>
      <c r="O27" s="3365"/>
      <c r="P27" s="3365">
        <f>M27</f>
        <v>0</v>
      </c>
      <c r="Q27" s="3363"/>
      <c r="R27" s="3379"/>
      <c r="S27" s="3379">
        <f>ROUND(IF(项目基本情况!$B$8="出让",SUMPRODUCT(PRODUCT(1+L27:L$40)),SUMPRODUCT(PRODUCT(1+L27:L$39))),4)</f>
        <v>1.0476000000000001</v>
      </c>
      <c r="T27" s="3379">
        <f>ROUND(IF(项目基本情况!$B$8="出让",SUMPRODUCT(PRODUCT(1+M27:M$40)),SUMPRODUCT(PRODUCT(1+M27:M$39))),4)</f>
        <v>1.0346</v>
      </c>
      <c r="U27" s="3379">
        <f>ROUND(IF(项目基本情况!$B$8="出让",SUMPRODUCT(PRODUCT(1+N27:N$40)),SUMPRODUCT(PRODUCT(1+N27:N$39))),4)</f>
        <v>1.0831999999999999</v>
      </c>
      <c r="V27" s="3379"/>
      <c r="W27" s="3379">
        <f>T27</f>
        <v>1.0346</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1" t="s">
        <v>3262</v>
      </c>
      <c r="B28" s="3401">
        <v>2024</v>
      </c>
      <c r="C28" s="3402">
        <v>1</v>
      </c>
      <c r="D28" s="3402"/>
      <c r="E28" s="3402">
        <v>0</v>
      </c>
      <c r="F28" s="3402">
        <v>0</v>
      </c>
      <c r="G28" s="3402">
        <v>0</v>
      </c>
      <c r="H28" s="3408"/>
      <c r="I28" s="3403">
        <f t="shared" si="37"/>
        <v>0</v>
      </c>
      <c r="J28" s="3363"/>
      <c r="K28" s="3364"/>
      <c r="L28" s="3365">
        <f t="shared" ref="L28" si="39">E28/100</f>
        <v>0</v>
      </c>
      <c r="M28" s="3365">
        <f t="shared" ref="M28" si="40">F28/100</f>
        <v>0</v>
      </c>
      <c r="N28" s="3365">
        <f t="shared" ref="N28" si="41">G28/100</f>
        <v>0</v>
      </c>
      <c r="O28" s="3365"/>
      <c r="P28" s="3365">
        <f t="shared" ref="P28" si="42">M28</f>
        <v>0</v>
      </c>
      <c r="Q28" s="3363"/>
      <c r="R28" s="3379"/>
      <c r="S28" s="3379">
        <f>ROUND(IF(项目基本情况!$B$8="出让",SUMPRODUCT(PRODUCT(1+L28:L$40)),SUMPRODUCT(PRODUCT(1+L28:L$39))),4)</f>
        <v>1.0476000000000001</v>
      </c>
      <c r="T28" s="3379">
        <f>ROUND(IF(项目基本情况!$B$8="出让",SUMPRODUCT(PRODUCT(1+M28:M$40)),SUMPRODUCT(PRODUCT(1+M28:M$39))),4)</f>
        <v>1.0346</v>
      </c>
      <c r="U28" s="3379">
        <f>ROUND(IF(项目基本情况!$B$8="出让",SUMPRODUCT(PRODUCT(1+N28:N$40)),SUMPRODUCT(PRODUCT(1+N28:N$39))),4)</f>
        <v>1.0831999999999999</v>
      </c>
      <c r="V28" s="3379"/>
      <c r="W28" s="3379">
        <f t="shared" ref="W28" si="43">T28</f>
        <v>1.0346</v>
      </c>
      <c r="X28" s="3363"/>
      <c r="Y28" s="3388"/>
      <c r="Z28" s="3389">
        <f t="shared" ref="Z28" si="44">IF(E28=0,0,ROUND(AVERAGE(E28:E39)/100,4))</f>
        <v>0</v>
      </c>
      <c r="AA28" s="3391">
        <f t="shared" ref="AA28" si="45">IF(F28=0,0,ROUND(AVERAGE(F28:F39)/100,4))</f>
        <v>0</v>
      </c>
      <c r="AB28" s="3388">
        <f t="shared" ref="AB28" si="46">IF(G28=0,0,ROUND(AVERAGE(G28:G39)/100,4))</f>
        <v>0</v>
      </c>
      <c r="AC28" s="3390"/>
      <c r="AD28" s="3388">
        <f t="shared" ref="AD28" si="47">IF(I28=0,0,ROUND(AVERAGE(I28:I39)/100,4))</f>
        <v>0</v>
      </c>
    </row>
    <row r="29" spans="1:30">
      <c r="A29" s="3343" t="s">
        <v>3263</v>
      </c>
      <c r="B29" s="3404">
        <v>2023</v>
      </c>
      <c r="C29" s="3405">
        <v>4</v>
      </c>
      <c r="D29" s="3405"/>
      <c r="E29" s="3405">
        <v>7.0000000000000007E-2</v>
      </c>
      <c r="F29" s="3405">
        <v>0.09</v>
      </c>
      <c r="G29" s="3405">
        <v>0.03</v>
      </c>
      <c r="H29" s="3406"/>
      <c r="I29" s="3407">
        <f t="shared" ref="I29" si="48">F29</f>
        <v>0.09</v>
      </c>
      <c r="J29" s="3366"/>
      <c r="K29" s="3367"/>
      <c r="L29" s="3368">
        <f t="shared" si="38"/>
        <v>7.000000000000001E-4</v>
      </c>
      <c r="M29" s="3368">
        <f t="shared" si="38"/>
        <v>8.9999999999999998E-4</v>
      </c>
      <c r="N29" s="3368">
        <f t="shared" si="38"/>
        <v>2.9999999999999997E-4</v>
      </c>
      <c r="O29" s="3368"/>
      <c r="P29" s="3368">
        <f t="shared" ref="P29" si="49">M29</f>
        <v>8.9999999999999998E-4</v>
      </c>
      <c r="Q29" s="3366"/>
      <c r="R29" s="3366"/>
      <c r="S29" s="3366">
        <f>ROUND(IF(项目基本情况!$B$8="出让",SUMPRODUCT(PRODUCT(1+L29:L$40)),SUMPRODUCT(PRODUCT(1+L29:L$39))),4)</f>
        <v>1.0476000000000001</v>
      </c>
      <c r="T29" s="3366">
        <f>ROUND(IF(项目基本情况!$B$8="出让",SUMPRODUCT(PRODUCT(1+M29:M$40)),SUMPRODUCT(PRODUCT(1+M29:M$39))),4)</f>
        <v>1.0346</v>
      </c>
      <c r="U29" s="3366">
        <f>ROUND(IF(项目基本情况!$B$8="出让",SUMPRODUCT(PRODUCT(1+N29:N$40)),SUMPRODUCT(PRODUCT(1+N29:N$39))),4)</f>
        <v>1.0831999999999999</v>
      </c>
      <c r="V29" s="3366"/>
      <c r="W29" s="3366">
        <f t="shared" ref="W29" si="50">T29</f>
        <v>1.0346</v>
      </c>
      <c r="X29" s="3366"/>
      <c r="Y29" s="3368"/>
      <c r="Z29" s="3392">
        <f t="shared" ref="Z29" si="51">IF(E29=0,0,ROUND(AVERAGE(E29:E40)/100,4))</f>
        <v>3.8999999999999998E-3</v>
      </c>
      <c r="AA29" s="3393">
        <f t="shared" ref="AA29" si="52">IF(F29=0,0,ROUND(AVERAGE(F29:F40)/100,4))</f>
        <v>2.8E-3</v>
      </c>
      <c r="AB29" s="3368">
        <f t="shared" ref="AB29" si="53">IF(G29=0,0,ROUND(AVERAGE(G29:G40)/100,4))</f>
        <v>6.7000000000000002E-3</v>
      </c>
      <c r="AC29" s="3394"/>
      <c r="AD29" s="3368">
        <f t="shared" ref="AD29" si="54">IF(I29=0,0,ROUND(AVERAGE(I29:I40)/100,4))</f>
        <v>2.8E-3</v>
      </c>
    </row>
    <row r="30" spans="1:30">
      <c r="A30" s="3342" t="s">
        <v>3264</v>
      </c>
      <c r="B30" s="3401">
        <v>2023</v>
      </c>
      <c r="C30" s="3402">
        <v>3</v>
      </c>
      <c r="D30" s="3402"/>
      <c r="E30" s="3402">
        <v>0.35</v>
      </c>
      <c r="F30" s="3402">
        <v>0.17</v>
      </c>
      <c r="G30" s="3402">
        <v>0.52</v>
      </c>
      <c r="H30" s="3408"/>
      <c r="I30" s="3403">
        <f t="shared" si="37"/>
        <v>0.17</v>
      </c>
      <c r="J30" s="3363"/>
      <c r="K30" s="3364"/>
      <c r="L30" s="3365">
        <f t="shared" ref="L30:L32" si="55">E30/100</f>
        <v>3.4999999999999996E-3</v>
      </c>
      <c r="M30" s="3365">
        <f t="shared" ref="M30:M32" si="56">F30/100</f>
        <v>1.7000000000000001E-3</v>
      </c>
      <c r="N30" s="3365">
        <f t="shared" ref="N30:N32" si="57">G30/100</f>
        <v>5.1999999999999998E-3</v>
      </c>
      <c r="O30" s="3365"/>
      <c r="P30" s="3365">
        <f t="shared" ref="P30:P32" si="58">M30</f>
        <v>1.7000000000000001E-3</v>
      </c>
      <c r="Q30" s="3363"/>
      <c r="R30" s="3379"/>
      <c r="S30" s="3379">
        <f>ROUND(IF(项目基本情况!$B$8="出让",SUMPRODUCT(PRODUCT(1+L30:L$40)),SUMPRODUCT(PRODUCT(1+L30:L$39))),4)</f>
        <v>1.0468</v>
      </c>
      <c r="T30" s="3379">
        <f>ROUND(IF(项目基本情况!$B$8="出让",SUMPRODUCT(PRODUCT(1+M30:M$40)),SUMPRODUCT(PRODUCT(1+M30:M$39))),4)</f>
        <v>1.0337000000000001</v>
      </c>
      <c r="U30" s="3379">
        <f>ROUND(IF(项目基本情况!$B$8="出让",SUMPRODUCT(PRODUCT(1+N30:N$40)),SUMPRODUCT(PRODUCT(1+N30:N$39))),4)</f>
        <v>1.0828</v>
      </c>
      <c r="V30" s="3379"/>
      <c r="W30" s="3379">
        <f t="shared" ref="W30:W32" si="59">T30</f>
        <v>1.0337000000000001</v>
      </c>
      <c r="X30" s="3363"/>
      <c r="Y30" s="3388"/>
      <c r="Z30" s="3389">
        <f t="shared" ref="Z30:AB30" si="60">IF(E30=0,0,ROUND(AVERAGE(E30:E41)/100,4))</f>
        <v>4.1999999999999997E-3</v>
      </c>
      <c r="AA30" s="3391">
        <f t="shared" si="60"/>
        <v>3.0000000000000001E-3</v>
      </c>
      <c r="AB30" s="3388">
        <f t="shared" si="60"/>
        <v>7.3000000000000001E-3</v>
      </c>
      <c r="AC30" s="3390"/>
      <c r="AD30" s="3388">
        <f t="shared" ref="AD30:AD32" si="61">IF(I30=0,0,ROUND(AVERAGE(I30:I41)/100,4))</f>
        <v>3.0000000000000001E-3</v>
      </c>
    </row>
    <row r="31" spans="1:30">
      <c r="A31" s="3342" t="s">
        <v>3260</v>
      </c>
      <c r="B31" s="3401">
        <v>2023</v>
      </c>
      <c r="C31" s="3402">
        <v>2</v>
      </c>
      <c r="D31" s="3402"/>
      <c r="E31" s="3402">
        <v>0.5</v>
      </c>
      <c r="F31" s="3402">
        <v>0.45</v>
      </c>
      <c r="G31" s="3402">
        <v>0.89</v>
      </c>
      <c r="H31" s="3408"/>
      <c r="I31" s="3403">
        <f t="shared" si="37"/>
        <v>0.45</v>
      </c>
      <c r="J31" s="3363"/>
      <c r="K31" s="3364"/>
      <c r="L31" s="3365">
        <f t="shared" si="55"/>
        <v>5.0000000000000001E-3</v>
      </c>
      <c r="M31" s="3365">
        <f t="shared" si="56"/>
        <v>4.5000000000000005E-3</v>
      </c>
      <c r="N31" s="3365">
        <f t="shared" si="57"/>
        <v>8.8999999999999999E-3</v>
      </c>
      <c r="O31" s="3365"/>
      <c r="P31" s="3365">
        <f t="shared" si="58"/>
        <v>4.5000000000000005E-3</v>
      </c>
      <c r="Q31" s="3363"/>
      <c r="R31" s="3379"/>
      <c r="S31" s="3379">
        <f>ROUND(IF(项目基本情况!$B$8="出让",SUMPRODUCT(PRODUCT(1+L31:L$40)),SUMPRODUCT(PRODUCT(1+L31:L$39))),4)</f>
        <v>1.0431999999999999</v>
      </c>
      <c r="T31" s="3379">
        <f>ROUND(IF(项目基本情况!$B$8="出让",SUMPRODUCT(PRODUCT(1+M31:M$40)),SUMPRODUCT(PRODUCT(1+M31:M$39))),4)</f>
        <v>1.0319</v>
      </c>
      <c r="U31" s="3379">
        <f>ROUND(IF(项目基本情况!$B$8="出让",SUMPRODUCT(PRODUCT(1+N31:N$40)),SUMPRODUCT(PRODUCT(1+N31:N$39))),4)</f>
        <v>1.0771999999999999</v>
      </c>
      <c r="V31" s="3379"/>
      <c r="W31" s="3379">
        <f t="shared" si="59"/>
        <v>1.0319</v>
      </c>
      <c r="X31" s="3363"/>
      <c r="Y31" s="3388"/>
      <c r="Z31" s="3389">
        <f t="shared" ref="Z31:AB31" si="62">IF(E31=0,0,ROUND(AVERAGE(E31:E42)/100,4))</f>
        <v>4.1999999999999997E-3</v>
      </c>
      <c r="AA31" s="3391">
        <f t="shared" si="62"/>
        <v>3.2000000000000002E-3</v>
      </c>
      <c r="AB31" s="3388">
        <f t="shared" si="62"/>
        <v>7.4999999999999997E-3</v>
      </c>
      <c r="AC31" s="3390"/>
      <c r="AD31" s="3388">
        <f t="shared" si="61"/>
        <v>3.2000000000000002E-3</v>
      </c>
    </row>
    <row r="32" spans="1:30">
      <c r="A32" s="3342" t="s">
        <v>3258</v>
      </c>
      <c r="B32" s="3401">
        <v>2023</v>
      </c>
      <c r="C32" s="3402">
        <v>1</v>
      </c>
      <c r="D32" s="3402"/>
      <c r="E32" s="3402">
        <v>0.55000000000000004</v>
      </c>
      <c r="F32" s="3402">
        <v>0.59</v>
      </c>
      <c r="G32" s="3402">
        <v>0.64</v>
      </c>
      <c r="H32" s="3408"/>
      <c r="I32" s="3403">
        <f t="shared" si="37"/>
        <v>0.59</v>
      </c>
      <c r="J32" s="3363"/>
      <c r="K32" s="3364"/>
      <c r="L32" s="3365">
        <f t="shared" si="55"/>
        <v>5.5000000000000005E-3</v>
      </c>
      <c r="M32" s="3365">
        <f t="shared" si="56"/>
        <v>5.8999999999999999E-3</v>
      </c>
      <c r="N32" s="3365">
        <f t="shared" si="57"/>
        <v>6.4000000000000003E-3</v>
      </c>
      <c r="O32" s="3365"/>
      <c r="P32" s="3365">
        <f t="shared" si="58"/>
        <v>5.8999999999999999E-3</v>
      </c>
      <c r="Q32" s="3363"/>
      <c r="R32" s="3379"/>
      <c r="S32" s="3379">
        <f>ROUND(IF(项目基本情况!$B$8="出让",SUMPRODUCT(PRODUCT(1+L32:L$40)),SUMPRODUCT(PRODUCT(1+L32:L$39))),4)</f>
        <v>1.038</v>
      </c>
      <c r="T32" s="3379">
        <f>ROUND(IF(项目基本情况!$B$8="出让",SUMPRODUCT(PRODUCT(1+M32:M$40)),SUMPRODUCT(PRODUCT(1+M32:M$39))),4)</f>
        <v>1.0273000000000001</v>
      </c>
      <c r="U32" s="3379">
        <f>ROUND(IF(项目基本情况!$B$8="出让",SUMPRODUCT(PRODUCT(1+N32:N$40)),SUMPRODUCT(PRODUCT(1+N32:N$39))),4)</f>
        <v>1.0677000000000001</v>
      </c>
      <c r="V32" s="3379"/>
      <c r="W32" s="3379">
        <f t="shared" si="59"/>
        <v>1.0273000000000001</v>
      </c>
      <c r="X32" s="3363"/>
      <c r="Y32" s="3388"/>
      <c r="Z32" s="3389">
        <f t="shared" ref="Z32:AB32" si="63">IF(E32=0,0,ROUND(AVERAGE(E32:E43)/100,4))</f>
        <v>4.1999999999999997E-3</v>
      </c>
      <c r="AA32" s="3391">
        <f t="shared" si="63"/>
        <v>3.0000000000000001E-3</v>
      </c>
      <c r="AB32" s="3388">
        <f t="shared" si="63"/>
        <v>7.3000000000000001E-3</v>
      </c>
      <c r="AC32" s="3390"/>
      <c r="AD32" s="3388">
        <f t="shared" si="61"/>
        <v>3.0000000000000001E-3</v>
      </c>
    </row>
    <row r="33" spans="1:30">
      <c r="A33" s="3342" t="s">
        <v>3256</v>
      </c>
      <c r="B33" s="3401">
        <v>2022</v>
      </c>
      <c r="C33" s="3402">
        <v>4</v>
      </c>
      <c r="D33" s="3402"/>
      <c r="E33" s="3402">
        <v>0.45</v>
      </c>
      <c r="F33" s="3402">
        <v>0.2</v>
      </c>
      <c r="G33" s="3402">
        <v>0.38</v>
      </c>
      <c r="H33" s="3408"/>
      <c r="I33" s="3403">
        <f t="shared" si="37"/>
        <v>0.2</v>
      </c>
      <c r="J33" s="3363"/>
      <c r="K33" s="3364"/>
      <c r="L33" s="3365">
        <f t="shared" si="38"/>
        <v>4.5000000000000005E-3</v>
      </c>
      <c r="M33" s="3365">
        <f t="shared" si="38"/>
        <v>2E-3</v>
      </c>
      <c r="N33" s="3365">
        <f t="shared" si="38"/>
        <v>3.8E-3</v>
      </c>
      <c r="O33" s="3365"/>
      <c r="P33" s="3365">
        <f t="shared" ref="P33:P40" si="64">M33</f>
        <v>2E-3</v>
      </c>
      <c r="Q33" s="3363"/>
      <c r="R33" s="3379"/>
      <c r="S33" s="3379">
        <f>ROUND(IF(项目基本情况!$B$8="出让",SUMPRODUCT(PRODUCT(1+L33:L$40)),SUMPRODUCT(PRODUCT(1+L33:L$39))),4)</f>
        <v>1.0323</v>
      </c>
      <c r="T33" s="3379">
        <f>ROUND(IF(项目基本情况!$B$8="出让",SUMPRODUCT(PRODUCT(1+M33:M$40)),SUMPRODUCT(PRODUCT(1+M33:M$39))),4)</f>
        <v>1.0213000000000001</v>
      </c>
      <c r="U33" s="3379">
        <f>ROUND(IF(项目基本情况!$B$8="出让",SUMPRODUCT(PRODUCT(1+N33:N$40)),SUMPRODUCT(PRODUCT(1+N33:N$39))),4)</f>
        <v>1.0609</v>
      </c>
      <c r="V33" s="3379"/>
      <c r="W33" s="3379">
        <f t="shared" ref="W33:W40" si="65">T33</f>
        <v>1.0213000000000001</v>
      </c>
      <c r="X33" s="3363"/>
      <c r="Y33" s="3388"/>
      <c r="Z33" s="3389">
        <f t="shared" ref="Z33:AD40" si="66">IF(E33=0,0,ROUND(AVERAGE(E33:E41)/100,4))</f>
        <v>4.0000000000000001E-3</v>
      </c>
      <c r="AA33" s="3391">
        <f t="shared" si="66"/>
        <v>2.5999999999999999E-3</v>
      </c>
      <c r="AB33" s="3388">
        <f t="shared" si="66"/>
        <v>7.4000000000000003E-3</v>
      </c>
      <c r="AC33" s="3390"/>
      <c r="AD33" s="3388">
        <f t="shared" si="66"/>
        <v>2.5999999999999999E-3</v>
      </c>
    </row>
    <row r="34" spans="1:30">
      <c r="A34" s="3342" t="s">
        <v>3252</v>
      </c>
      <c r="B34" s="3401">
        <v>2022</v>
      </c>
      <c r="C34" s="3402">
        <v>3</v>
      </c>
      <c r="D34" s="3402"/>
      <c r="E34" s="3402">
        <v>0.3</v>
      </c>
      <c r="F34" s="3402">
        <v>0.28999999999999998</v>
      </c>
      <c r="G34" s="3402">
        <v>0.83</v>
      </c>
      <c r="H34" s="3408"/>
      <c r="I34" s="3403">
        <f t="shared" si="37"/>
        <v>0.28999999999999998</v>
      </c>
      <c r="J34" s="3363"/>
      <c r="K34" s="3364"/>
      <c r="L34" s="3365">
        <f t="shared" si="38"/>
        <v>3.0000000000000001E-3</v>
      </c>
      <c r="M34" s="3365">
        <f t="shared" si="38"/>
        <v>2.8999999999999998E-3</v>
      </c>
      <c r="N34" s="3365">
        <f t="shared" si="38"/>
        <v>8.3000000000000001E-3</v>
      </c>
      <c r="O34" s="3365"/>
      <c r="P34" s="3365">
        <f t="shared" si="64"/>
        <v>2.8999999999999998E-3</v>
      </c>
      <c r="Q34" s="3363"/>
      <c r="R34" s="3379"/>
      <c r="S34" s="3379">
        <f>ROUND(IF(项目基本情况!$B$8="出让",SUMPRODUCT(PRODUCT(1+L34:L$40)),SUMPRODUCT(PRODUCT(1+L34:L$39))),4)</f>
        <v>1.0277000000000001</v>
      </c>
      <c r="T34" s="3379">
        <f>ROUND(IF(项目基本情况!$B$8="出让",SUMPRODUCT(PRODUCT(1+M34:M$40)),SUMPRODUCT(PRODUCT(1+M34:M$39))),4)</f>
        <v>1.0192000000000001</v>
      </c>
      <c r="U34" s="3379">
        <f>ROUND(IF(项目基本情况!$B$8="出让",SUMPRODUCT(PRODUCT(1+N34:N$40)),SUMPRODUCT(PRODUCT(1+N34:N$39))),4)</f>
        <v>1.0569</v>
      </c>
      <c r="V34" s="3379"/>
      <c r="W34" s="3379">
        <f t="shared" si="65"/>
        <v>1.0192000000000001</v>
      </c>
      <c r="X34" s="3363"/>
      <c r="Y34" s="3388"/>
      <c r="Z34" s="3389">
        <f t="shared" si="66"/>
        <v>3.8999999999999998E-3</v>
      </c>
      <c r="AA34" s="3391">
        <f t="shared" si="66"/>
        <v>2.7000000000000001E-3</v>
      </c>
      <c r="AB34" s="3388">
        <f t="shared" si="66"/>
        <v>7.9000000000000008E-3</v>
      </c>
      <c r="AC34" s="3390"/>
      <c r="AD34" s="3388">
        <f t="shared" si="66"/>
        <v>2.7000000000000001E-3</v>
      </c>
    </row>
    <row r="35" spans="1:30">
      <c r="A35" s="3342" t="s">
        <v>3251</v>
      </c>
      <c r="B35" s="3401">
        <v>2022</v>
      </c>
      <c r="C35" s="3402">
        <v>2</v>
      </c>
      <c r="D35" s="3402"/>
      <c r="E35" s="3402">
        <v>-0.11</v>
      </c>
      <c r="F35" s="3402">
        <v>-0.13</v>
      </c>
      <c r="G35" s="3402">
        <v>0.53</v>
      </c>
      <c r="H35" s="3408"/>
      <c r="I35" s="3403">
        <f t="shared" si="37"/>
        <v>-0.13</v>
      </c>
      <c r="J35" s="3363"/>
      <c r="K35" s="3364"/>
      <c r="L35" s="3365">
        <f t="shared" si="38"/>
        <v>-1.1000000000000001E-3</v>
      </c>
      <c r="M35" s="3365">
        <f t="shared" si="38"/>
        <v>-1.2999999999999999E-3</v>
      </c>
      <c r="N35" s="3365">
        <f t="shared" si="38"/>
        <v>5.3E-3</v>
      </c>
      <c r="O35" s="3365"/>
      <c r="P35" s="3365">
        <f t="shared" si="64"/>
        <v>-1.2999999999999999E-3</v>
      </c>
      <c r="Q35" s="3363"/>
      <c r="R35" s="3379"/>
      <c r="S35" s="3379">
        <f>ROUND(IF(项目基本情况!$B$8="出让",SUMPRODUCT(PRODUCT(1+L35:L$40)),SUMPRODUCT(PRODUCT(1+L35:L$39))),4)</f>
        <v>1.0246</v>
      </c>
      <c r="T35" s="3379">
        <f>ROUND(IF(项目基本情况!$B$8="出让",SUMPRODUCT(PRODUCT(1+M35:M$40)),SUMPRODUCT(PRODUCT(1+M35:M$39))),4)</f>
        <v>1.0163</v>
      </c>
      <c r="U35" s="3379">
        <f>ROUND(IF(项目基本情况!$B$8="出让",SUMPRODUCT(PRODUCT(1+N35:N$40)),SUMPRODUCT(PRODUCT(1+N35:N$39))),4)</f>
        <v>1.0482</v>
      </c>
      <c r="V35" s="3379"/>
      <c r="W35" s="3379">
        <f t="shared" si="65"/>
        <v>1.0163</v>
      </c>
      <c r="X35" s="3363"/>
      <c r="Y35" s="3388"/>
      <c r="Z35" s="3389">
        <f t="shared" si="66"/>
        <v>4.1000000000000003E-3</v>
      </c>
      <c r="AA35" s="3391">
        <f t="shared" si="66"/>
        <v>2.7000000000000001E-3</v>
      </c>
      <c r="AB35" s="3388">
        <f t="shared" si="66"/>
        <v>7.9000000000000008E-3</v>
      </c>
      <c r="AC35" s="3390"/>
      <c r="AD35" s="3388">
        <f t="shared" si="66"/>
        <v>2.7000000000000001E-3</v>
      </c>
    </row>
    <row r="36" spans="1:30">
      <c r="A36" s="3342" t="s">
        <v>2785</v>
      </c>
      <c r="B36" s="3401">
        <v>2022</v>
      </c>
      <c r="C36" s="3402">
        <v>1</v>
      </c>
      <c r="D36" s="3402"/>
      <c r="E36" s="3402">
        <v>0.6</v>
      </c>
      <c r="F36" s="3402">
        <v>0.45</v>
      </c>
      <c r="G36" s="3402">
        <v>0.53</v>
      </c>
      <c r="H36" s="3408"/>
      <c r="I36" s="3403">
        <f t="shared" si="37"/>
        <v>0.45</v>
      </c>
      <c r="J36" s="3363"/>
      <c r="K36" s="3364"/>
      <c r="L36" s="3365">
        <f t="shared" si="38"/>
        <v>6.0000000000000001E-3</v>
      </c>
      <c r="M36" s="3365">
        <f t="shared" si="38"/>
        <v>4.5000000000000005E-3</v>
      </c>
      <c r="N36" s="3365">
        <f t="shared" si="38"/>
        <v>5.3E-3</v>
      </c>
      <c r="O36" s="3365"/>
      <c r="P36" s="3365">
        <f t="shared" si="64"/>
        <v>4.5000000000000005E-3</v>
      </c>
      <c r="Q36" s="3363"/>
      <c r="R36" s="3379"/>
      <c r="S36" s="3379">
        <f>ROUND(IF(项目基本情况!$B$8="出让",SUMPRODUCT(PRODUCT(1+L36:L$40)),SUMPRODUCT(PRODUCT(1+L36:L$39))),4)</f>
        <v>1.0258</v>
      </c>
      <c r="T36" s="3379">
        <f>ROUND(IF(项目基本情况!$B$8="出让",SUMPRODUCT(PRODUCT(1+M36:M$40)),SUMPRODUCT(PRODUCT(1+M36:M$39))),4)</f>
        <v>1.0176000000000001</v>
      </c>
      <c r="U36" s="3379">
        <f>ROUND(IF(项目基本情况!$B$8="出让",SUMPRODUCT(PRODUCT(1+N36:N$40)),SUMPRODUCT(PRODUCT(1+N36:N$39))),4)</f>
        <v>1.0427</v>
      </c>
      <c r="V36" s="3379"/>
      <c r="W36" s="3379">
        <f t="shared" si="65"/>
        <v>1.0176000000000001</v>
      </c>
      <c r="X36" s="3363"/>
      <c r="Y36" s="3388"/>
      <c r="Z36" s="3389">
        <f t="shared" si="66"/>
        <v>5.1000000000000004E-3</v>
      </c>
      <c r="AA36" s="3391">
        <f t="shared" si="66"/>
        <v>3.5000000000000001E-3</v>
      </c>
      <c r="AB36" s="3388">
        <f t="shared" si="66"/>
        <v>8.3999999999999995E-3</v>
      </c>
      <c r="AC36" s="3390"/>
      <c r="AD36" s="3388">
        <f t="shared" si="66"/>
        <v>3.5000000000000001E-3</v>
      </c>
    </row>
    <row r="37" spans="1:30">
      <c r="A37" s="3342" t="s">
        <v>2786</v>
      </c>
      <c r="B37" s="3401">
        <v>2021</v>
      </c>
      <c r="C37" s="3402">
        <v>4</v>
      </c>
      <c r="D37" s="3402"/>
      <c r="E37" s="3402">
        <v>0.57999999999999996</v>
      </c>
      <c r="F37" s="3402">
        <v>0.08</v>
      </c>
      <c r="G37" s="3402">
        <v>0.68</v>
      </c>
      <c r="H37" s="3408"/>
      <c r="I37" s="3403">
        <f t="shared" si="37"/>
        <v>0.08</v>
      </c>
      <c r="J37" s="3363"/>
      <c r="K37" s="3364"/>
      <c r="L37" s="3365">
        <f t="shared" si="38"/>
        <v>5.7999999999999996E-3</v>
      </c>
      <c r="M37" s="3365">
        <f t="shared" si="38"/>
        <v>8.0000000000000004E-4</v>
      </c>
      <c r="N37" s="3365">
        <f t="shared" si="38"/>
        <v>6.8000000000000005E-3</v>
      </c>
      <c r="O37" s="3365"/>
      <c r="P37" s="3365">
        <f t="shared" si="64"/>
        <v>8.0000000000000004E-4</v>
      </c>
      <c r="Q37" s="3363"/>
      <c r="R37" s="3379"/>
      <c r="S37" s="3379">
        <f>ROUND(IF(项目基本情况!$B$8="出让",SUMPRODUCT(PRODUCT(1+L37:L$40)),SUMPRODUCT(PRODUCT(1+L37:L$39))),4)</f>
        <v>1.0196000000000001</v>
      </c>
      <c r="T37" s="3379">
        <f>ROUND(IF(项目基本情况!$B$8="出让",SUMPRODUCT(PRODUCT(1+M37:M$40)),SUMPRODUCT(PRODUCT(1+M37:M$39))),4)</f>
        <v>1.0130999999999999</v>
      </c>
      <c r="U37" s="3379">
        <f>ROUND(IF(项目基本情况!$B$8="出让",SUMPRODUCT(PRODUCT(1+N37:N$40)),SUMPRODUCT(PRODUCT(1+N37:N$39))),4)</f>
        <v>1.0371999999999999</v>
      </c>
      <c r="V37" s="3379"/>
      <c r="W37" s="3379">
        <f t="shared" si="65"/>
        <v>1.0130999999999999</v>
      </c>
      <c r="X37" s="3363"/>
      <c r="Y37" s="3388"/>
      <c r="Z37" s="3389">
        <f t="shared" si="66"/>
        <v>4.8999999999999998E-3</v>
      </c>
      <c r="AA37" s="3391">
        <f t="shared" si="66"/>
        <v>3.3E-3</v>
      </c>
      <c r="AB37" s="3388">
        <f t="shared" si="66"/>
        <v>9.1999999999999998E-3</v>
      </c>
      <c r="AC37" s="3390"/>
      <c r="AD37" s="3388">
        <f t="shared" si="66"/>
        <v>3.3E-3</v>
      </c>
    </row>
    <row r="38" spans="1:30">
      <c r="A38" s="3342" t="s">
        <v>2787</v>
      </c>
      <c r="B38" s="3401">
        <v>2021</v>
      </c>
      <c r="C38" s="3402">
        <v>3</v>
      </c>
      <c r="D38" s="3402"/>
      <c r="E38" s="3402">
        <v>0.47</v>
      </c>
      <c r="F38" s="3402">
        <v>0.28000000000000003</v>
      </c>
      <c r="G38" s="3402">
        <v>0.91</v>
      </c>
      <c r="H38" s="3408"/>
      <c r="I38" s="3403">
        <f t="shared" si="37"/>
        <v>0.28000000000000003</v>
      </c>
      <c r="J38" s="3363"/>
      <c r="K38" s="3364"/>
      <c r="L38" s="3365">
        <f t="shared" si="38"/>
        <v>4.6999999999999993E-3</v>
      </c>
      <c r="M38" s="3365">
        <f t="shared" si="38"/>
        <v>2.8000000000000004E-3</v>
      </c>
      <c r="N38" s="3365">
        <f t="shared" si="38"/>
        <v>9.1000000000000004E-3</v>
      </c>
      <c r="O38" s="3365"/>
      <c r="P38" s="3365">
        <f t="shared" si="64"/>
        <v>2.8000000000000004E-3</v>
      </c>
      <c r="Q38" s="3363"/>
      <c r="R38" s="3379"/>
      <c r="S38" s="3379">
        <f>ROUND(IF(项目基本情况!$B$8="出让",SUMPRODUCT(PRODUCT(1+L38:L$40)),SUMPRODUCT(PRODUCT(1+L38:L$39))),4)</f>
        <v>1.0138</v>
      </c>
      <c r="T38" s="3379">
        <f>ROUND(IF(项目基本情况!$B$8="出让",SUMPRODUCT(PRODUCT(1+M38:M$40)),SUMPRODUCT(PRODUCT(1+M38:M$39))),4)</f>
        <v>1.0122</v>
      </c>
      <c r="U38" s="3379">
        <f>ROUND(IF(项目基本情况!$B$8="出让",SUMPRODUCT(PRODUCT(1+N38:N$40)),SUMPRODUCT(PRODUCT(1+N38:N$39))),4)</f>
        <v>1.0302</v>
      </c>
      <c r="V38" s="3379"/>
      <c r="W38" s="3379">
        <f t="shared" si="65"/>
        <v>1.0122</v>
      </c>
      <c r="X38" s="3363"/>
      <c r="Y38" s="3388"/>
      <c r="Z38" s="3389">
        <f t="shared" si="66"/>
        <v>4.5999999999999999E-3</v>
      </c>
      <c r="AA38" s="3391">
        <f t="shared" si="66"/>
        <v>4.1000000000000003E-3</v>
      </c>
      <c r="AB38" s="3388">
        <f t="shared" si="66"/>
        <v>0.01</v>
      </c>
      <c r="AC38" s="3390"/>
      <c r="AD38" s="3388">
        <f t="shared" si="66"/>
        <v>4.1000000000000003E-3</v>
      </c>
    </row>
    <row r="39" spans="1:30">
      <c r="A39" s="3342" t="s">
        <v>2791</v>
      </c>
      <c r="B39" s="3401">
        <v>2021</v>
      </c>
      <c r="C39" s="3402">
        <v>2</v>
      </c>
      <c r="D39" s="3402"/>
      <c r="E39" s="3402">
        <v>0.55000000000000004</v>
      </c>
      <c r="F39" s="3402">
        <v>0.46</v>
      </c>
      <c r="G39" s="3402">
        <v>1.1000000000000001</v>
      </c>
      <c r="H39" s="3408"/>
      <c r="I39" s="3403">
        <f t="shared" si="37"/>
        <v>0.46</v>
      </c>
      <c r="J39" s="3363"/>
      <c r="K39" s="3364"/>
      <c r="L39" s="3365">
        <f t="shared" si="38"/>
        <v>5.5000000000000005E-3</v>
      </c>
      <c r="M39" s="3365">
        <f t="shared" si="38"/>
        <v>4.5999999999999999E-3</v>
      </c>
      <c r="N39" s="3365">
        <f t="shared" si="38"/>
        <v>1.1000000000000001E-2</v>
      </c>
      <c r="O39" s="3365"/>
      <c r="P39" s="3365">
        <f t="shared" si="64"/>
        <v>4.5999999999999999E-3</v>
      </c>
      <c r="Q39" s="3363"/>
      <c r="R39" s="3379"/>
      <c r="S39" s="3379">
        <f>ROUND(IF(项目基本情况!$B$8="出让",SUMPRODUCT(PRODUCT(1+L39:L$40)),SUMPRODUCT(PRODUCT(1+L39:L$39))),4)</f>
        <v>1.0089999999999999</v>
      </c>
      <c r="T39" s="3379">
        <f>ROUND(IF(项目基本情况!$B$8="出让",SUMPRODUCT(PRODUCT(1+M39:M$40)),SUMPRODUCT(PRODUCT(1+M39:M$39))),4)</f>
        <v>1.0094000000000001</v>
      </c>
      <c r="U39" s="3379">
        <f>ROUND(IF(项目基本情况!$B$8="出让",SUMPRODUCT(PRODUCT(1+N39:N$40)),SUMPRODUCT(PRODUCT(1+N39:N$39))),4)</f>
        <v>1.0208999999999999</v>
      </c>
      <c r="V39" s="3379"/>
      <c r="W39" s="3379">
        <f t="shared" si="65"/>
        <v>1.0094000000000001</v>
      </c>
      <c r="X39" s="3363"/>
      <c r="Y39" s="3388"/>
      <c r="Z39" s="3389">
        <f t="shared" si="66"/>
        <v>4.4999999999999997E-3</v>
      </c>
      <c r="AA39" s="3391">
        <f t="shared" si="66"/>
        <v>4.7000000000000002E-3</v>
      </c>
      <c r="AB39" s="3388">
        <f t="shared" si="66"/>
        <v>1.04E-2</v>
      </c>
      <c r="AC39" s="3390"/>
      <c r="AD39" s="3388">
        <f t="shared" si="66"/>
        <v>4.7000000000000002E-3</v>
      </c>
    </row>
    <row r="40" spans="1:30" ht="15" thickBot="1">
      <c r="A40" s="3344" t="s">
        <v>2792</v>
      </c>
      <c r="B40" s="3409">
        <v>2021</v>
      </c>
      <c r="C40" s="3410">
        <v>1</v>
      </c>
      <c r="D40" s="3410"/>
      <c r="E40" s="3410">
        <v>0.35</v>
      </c>
      <c r="F40" s="3410">
        <v>0.48</v>
      </c>
      <c r="G40" s="3410">
        <v>0.98</v>
      </c>
      <c r="H40" s="3411"/>
      <c r="I40" s="3412">
        <f t="shared" si="37"/>
        <v>0.48</v>
      </c>
      <c r="J40" s="3369"/>
      <c r="K40" s="3370"/>
      <c r="L40" s="3371">
        <f t="shared" si="38"/>
        <v>3.4999999999999996E-3</v>
      </c>
      <c r="M40" s="3371">
        <f>F40/100</f>
        <v>4.7999999999999996E-3</v>
      </c>
      <c r="N40" s="3371">
        <f t="shared" si="38"/>
        <v>9.7999999999999997E-3</v>
      </c>
      <c r="O40" s="3371"/>
      <c r="P40" s="3371">
        <f t="shared" si="64"/>
        <v>4.7999999999999996E-3</v>
      </c>
      <c r="Q40" s="3369"/>
      <c r="R40" s="3380"/>
      <c r="S40" s="3380">
        <v>1</v>
      </c>
      <c r="T40" s="3380">
        <v>1</v>
      </c>
      <c r="U40" s="3380">
        <v>1</v>
      </c>
      <c r="V40" s="3380"/>
      <c r="W40" s="3380">
        <f t="shared" si="65"/>
        <v>1</v>
      </c>
      <c r="X40" s="3369"/>
      <c r="Y40" s="3371"/>
      <c r="Z40" s="3395">
        <f t="shared" si="66"/>
        <v>3.5000000000000001E-3</v>
      </c>
      <c r="AA40" s="3396">
        <f t="shared" si="66"/>
        <v>4.7999999999999996E-3</v>
      </c>
      <c r="AB40" s="3371">
        <f t="shared" si="66"/>
        <v>9.7999999999999997E-3</v>
      </c>
      <c r="AC40" s="3397"/>
      <c r="AD40" s="3371">
        <f t="shared" si="66"/>
        <v>4.7999999999999996E-3</v>
      </c>
    </row>
    <row r="41" spans="1:30" ht="15" thickTop="1"/>
    <row r="42" spans="1:30">
      <c r="A42" s="3660"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4"/>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-0.5</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4002" t="s">
        <v>1807</v>
      </c>
      <c r="C8" s="1611">
        <f ca="1">ROUND(F8*F10*F9*(1-F11)/10000,0)</f>
        <v>0</v>
      </c>
      <c r="D8" s="1608" t="s">
        <v>1817</v>
      </c>
      <c r="E8" s="59" t="s">
        <v>585</v>
      </c>
      <c r="F8" s="751">
        <f ca="1">INDIRECT("'数据-取费表'!u"&amp;$G$1)</f>
        <v>0</v>
      </c>
      <c r="G8" s="1404"/>
      <c r="H8" s="2150" t="s">
        <v>1353</v>
      </c>
      <c r="I8" s="4002" t="s">
        <v>1807</v>
      </c>
      <c r="J8" s="749">
        <f ca="1">ROUND(M8*M10*M9*(1-M11)/10000,0)</f>
        <v>0</v>
      </c>
      <c r="K8" s="332" t="s">
        <v>1817</v>
      </c>
      <c r="L8" s="750" t="s">
        <v>1267</v>
      </c>
      <c r="M8" s="751">
        <f ca="1">INDIRECT("'数据-取费表'!z"&amp;$G$1)</f>
        <v>0</v>
      </c>
    </row>
    <row r="9" spans="1:25" ht="18" customHeight="1">
      <c r="A9" s="2146"/>
      <c r="B9" s="4003"/>
      <c r="C9" s="1612"/>
      <c r="D9" s="1609"/>
      <c r="E9" s="59" t="s">
        <v>586</v>
      </c>
      <c r="F9" s="751">
        <f ca="1">IF(INDIRECT("'数据-取费表'!ah"&amp;$G$1)="",INDIRECT("'数据-取费表'!k"&amp;$G$1),INDIRECT("'数据-取费表'!ah"&amp;$G$1))</f>
        <v>0</v>
      </c>
      <c r="G9" s="1404"/>
      <c r="H9" s="2135"/>
      <c r="I9" s="4003"/>
      <c r="J9" s="754"/>
      <c r="K9" s="755"/>
      <c r="L9" s="750" t="s">
        <v>1268</v>
      </c>
      <c r="M9" s="751">
        <f ca="1">F9</f>
        <v>0</v>
      </c>
    </row>
    <row r="10" spans="1:25" ht="18" customHeight="1">
      <c r="A10" s="2139"/>
      <c r="B10" s="4004"/>
      <c r="C10" s="1612"/>
      <c r="D10" s="1609"/>
      <c r="E10" s="59" t="s">
        <v>587</v>
      </c>
      <c r="F10" s="751">
        <f ca="1">INDIRECT("'数据-取费表'!ai"&amp;$G$1)</f>
        <v>0</v>
      </c>
      <c r="G10" s="1404"/>
      <c r="H10" s="2135"/>
      <c r="I10" s="4004"/>
      <c r="J10" s="754"/>
      <c r="K10" s="755"/>
      <c r="L10" s="750" t="s">
        <v>1269</v>
      </c>
      <c r="M10" s="751">
        <f ca="1">INDIRECT("'数据-取费表'!ai"&amp;$G$1)</f>
        <v>0</v>
      </c>
    </row>
    <row r="11" spans="1:25" ht="18" customHeight="1">
      <c r="A11" s="752"/>
      <c r="B11" s="4005"/>
      <c r="C11" s="1612"/>
      <c r="D11" s="1609"/>
      <c r="E11" s="59" t="s">
        <v>588</v>
      </c>
      <c r="F11" s="760">
        <f ca="1">INDIRECT("'数据-取费表'!w"&amp;$G$1)</f>
        <v>0</v>
      </c>
      <c r="G11" s="1404"/>
      <c r="H11" s="2151"/>
      <c r="I11" s="4004"/>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185</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单利计息。建造成本、管理费用、销售费用产生的利息。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(建造成本+管理费用)×利率×(建设周期÷2)</v>
      </c>
      <c r="E25" s="750" t="s">
        <v>625</v>
      </c>
      <c r="F25" s="608">
        <f>'数据-取费表'!B20</f>
        <v>0.5</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2.0000000000000001E-4</v>
      </c>
      <c r="D26" s="2186" t="str">
        <f>IF(F25&lt;=1,"销售费用×利率×(建设周期÷2)","销售费用×((1+利率)^(建设周期÷2)-1)")</f>
        <v>销售费用×利率×(建设周期÷2)</v>
      </c>
      <c r="E26" s="750" t="s">
        <v>629</v>
      </c>
      <c r="F26" s="784">
        <f ca="1">'数据-取费表'!B40</f>
        <v>3.4500000000000003E-2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4001"/>
      <c r="J36" s="1802"/>
      <c r="K36" s="1803"/>
      <c r="L36" s="1802"/>
      <c r="M36" s="1802"/>
    </row>
    <row r="37" spans="1:18" ht="18" customHeight="1">
      <c r="A37" s="780"/>
      <c r="B37" s="759"/>
      <c r="C37" s="67"/>
      <c r="D37" s="781"/>
      <c r="E37" s="750" t="s">
        <v>621</v>
      </c>
      <c r="F37" s="751">
        <f ca="1">INDIRECT("'数据-取费表'!r"&amp;$G$1)</f>
        <v>0</v>
      </c>
      <c r="G37" s="1785"/>
      <c r="H37" s="1788"/>
      <c r="I37" s="4001"/>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31.8" thickBot="1">
      <c r="A54" s="1818"/>
      <c r="I54" s="2559" t="s">
        <v>2236</v>
      </c>
      <c r="J54" s="2610">
        <f ca="1">IF(M48="住宅",MAX(J52,L49-'数据-取费表'!B20),MIN(J52,L49-'数据-取费表'!B20))</f>
        <v>-0.5</v>
      </c>
      <c r="K54" s="4006"/>
      <c r="L54" s="4007"/>
      <c r="O54" s="2092" t="s">
        <v>1742</v>
      </c>
      <c r="P54" s="2090" t="s">
        <v>1743</v>
      </c>
      <c r="Q54" s="2091">
        <f ca="1">J54</f>
        <v>-0.5</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2"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7.4"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31.8"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6.2"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2" thickBot="1">
      <c r="A65" s="1818"/>
      <c r="B65" s="1819"/>
      <c r="C65" s="1819"/>
      <c r="I65" s="2578" t="s">
        <v>1725</v>
      </c>
      <c r="J65" s="2579">
        <v>50</v>
      </c>
      <c r="K65" s="2579">
        <v>35</v>
      </c>
      <c r="L65" s="2579">
        <v>60</v>
      </c>
      <c r="M65" s="811">
        <v>0</v>
      </c>
      <c r="O65" s="2095" t="s">
        <v>1769</v>
      </c>
      <c r="P65" s="1404"/>
      <c r="Q65" s="1412"/>
      <c r="R65" s="1404"/>
    </row>
    <row r="66" spans="1:18" s="1782" customFormat="1" ht="16.2"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851</v>
      </c>
      <c r="D1" s="2552" t="s">
        <v>877</v>
      </c>
      <c r="E1" s="2078" t="s">
        <v>1728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t="e">
        <f ca="1">C40+J29+L46</f>
        <v>#N/A</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t="e">
        <f ca="1">C6+C10+C12</f>
        <v>#N/A</v>
      </c>
      <c r="D5" s="2142" t="s">
        <v>1805</v>
      </c>
      <c r="E5" s="2136"/>
      <c r="F5" s="2137"/>
      <c r="G5" s="1785"/>
      <c r="H5" s="747">
        <v>1</v>
      </c>
      <c r="I5" s="748" t="s">
        <v>1802</v>
      </c>
      <c r="J5" s="53" t="e">
        <f ca="1">J6+J10+J12</f>
        <v>#N/A</v>
      </c>
      <c r="K5" s="2142" t="s">
        <v>1805</v>
      </c>
      <c r="L5" s="2136"/>
      <c r="M5" s="2137"/>
    </row>
    <row r="6" spans="1:33" ht="18" customHeight="1">
      <c r="A6" s="1616" t="s">
        <v>1353</v>
      </c>
      <c r="B6" s="4002" t="s">
        <v>1807</v>
      </c>
      <c r="C6" s="749" t="e">
        <f ca="1">ROUND(F6*F8*F7*(1-F9)/10000,0)</f>
        <v>#N/A</v>
      </c>
      <c r="D6" s="2143" t="s">
        <v>1806</v>
      </c>
      <c r="E6" s="750" t="s">
        <v>1267</v>
      </c>
      <c r="F6" s="751" t="e">
        <f ca="1">INDIRECT("'数据-取费表'!u"&amp;$G$1)</f>
        <v>#N/A</v>
      </c>
      <c r="G6" s="1785"/>
      <c r="H6" s="2150" t="s">
        <v>1812</v>
      </c>
      <c r="I6" s="4002" t="s">
        <v>1807</v>
      </c>
      <c r="J6" s="749" t="e">
        <f ca="1">ROUND(M6*M8*M7*(1-M9)/10000,0)</f>
        <v>#N/A</v>
      </c>
      <c r="K6" s="332" t="s">
        <v>1266</v>
      </c>
      <c r="L6" s="750" t="s">
        <v>1267</v>
      </c>
      <c r="M6" s="751" t="e">
        <f ca="1">INDIRECT("'数据-取费表'!z"&amp;$G$1)</f>
        <v>#N/A</v>
      </c>
    </row>
    <row r="7" spans="1:33" ht="18" customHeight="1">
      <c r="A7" s="2146"/>
      <c r="B7" s="4003"/>
      <c r="C7" s="754"/>
      <c r="D7" s="755"/>
      <c r="E7" s="750" t="s">
        <v>1268</v>
      </c>
      <c r="F7" s="751" t="e">
        <f ca="1">IF(INDIRECT("'数据-取费表'!ah"&amp;$G$1)="",INDIRECT("'数据-取费表'!k"&amp;$G$1),INDIRECT("'数据-取费表'!ah"&amp;$G$1))</f>
        <v>#N/A</v>
      </c>
      <c r="G7" s="1785"/>
      <c r="H7" s="2135"/>
      <c r="I7" s="4003"/>
      <c r="J7" s="754"/>
      <c r="K7" s="755"/>
      <c r="L7" s="750" t="s">
        <v>1268</v>
      </c>
      <c r="M7" s="751" t="e">
        <f ca="1">F7</f>
        <v>#N/A</v>
      </c>
    </row>
    <row r="8" spans="1:33" ht="18" customHeight="1">
      <c r="A8" s="2139"/>
      <c r="B8" s="4004"/>
      <c r="C8" s="754"/>
      <c r="D8" s="755"/>
      <c r="E8" s="750" t="s">
        <v>1269</v>
      </c>
      <c r="F8" s="751" t="e">
        <f ca="1">INDIRECT("'数据-取费表'!ai"&amp;$G$1)</f>
        <v>#N/A</v>
      </c>
      <c r="G8" s="1785"/>
      <c r="H8" s="2135"/>
      <c r="I8" s="4004"/>
      <c r="J8" s="754"/>
      <c r="K8" s="755"/>
      <c r="L8" s="750" t="s">
        <v>1269</v>
      </c>
      <c r="M8" s="751" t="e">
        <f ca="1">INDIRECT("'数据-取费表'!ai"&amp;$G$1)</f>
        <v>#N/A</v>
      </c>
    </row>
    <row r="9" spans="1:33" ht="18" customHeight="1">
      <c r="A9" s="752"/>
      <c r="B9" s="4005"/>
      <c r="C9" s="754"/>
      <c r="D9" s="755"/>
      <c r="E9" s="750" t="s">
        <v>1270</v>
      </c>
      <c r="F9" s="760" t="e">
        <f ca="1">INDIRECT("'数据-取费表'!w"&amp;$G$1)</f>
        <v>#N/A</v>
      </c>
      <c r="G9" s="1785"/>
      <c r="H9" s="2151"/>
      <c r="I9" s="4004"/>
      <c r="J9" s="754"/>
      <c r="K9" s="755"/>
      <c r="L9" s="761" t="s">
        <v>1270</v>
      </c>
      <c r="M9" s="762" t="e">
        <f ca="1">INDIRECT("'数据-取费表'!ab"&amp;$G$1)</f>
        <v>#N/A</v>
      </c>
    </row>
    <row r="10" spans="1:33" ht="18" customHeight="1">
      <c r="A10" s="1616" t="s">
        <v>1810</v>
      </c>
      <c r="B10" s="2140" t="s">
        <v>1803</v>
      </c>
      <c r="C10" s="765">
        <f ca="1">ROUND(IF(F10="押一",C6/12*F11,IF(F10="押二",C6/12*2*F11,IF(F10="押三",C6/12*3*F11,C11*F11))),0)</f>
        <v>0</v>
      </c>
      <c r="D10" s="2147" t="s">
        <v>2232</v>
      </c>
      <c r="E10" s="2144" t="s">
        <v>1808</v>
      </c>
      <c r="F10" s="2228"/>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t="e">
        <f ca="1">ROUND(C29*F13,0)</f>
        <v>#N/A</v>
      </c>
      <c r="D13" s="1620" t="s">
        <v>1654</v>
      </c>
      <c r="E13" s="1620" t="s">
        <v>1273</v>
      </c>
      <c r="F13" s="2153" t="e">
        <f ca="1">INDIRECT("'数据-取费表'!y"&amp;$G$1)</f>
        <v>#N/A</v>
      </c>
      <c r="G13" s="1785"/>
      <c r="H13" s="1615">
        <v>2</v>
      </c>
      <c r="I13" s="1613" t="s">
        <v>1271</v>
      </c>
      <c r="J13" s="1605" t="e">
        <f ca="1">ROUND(J14*J15,0)</f>
        <v>#N/A</v>
      </c>
      <c r="K13" s="1607" t="s">
        <v>1272</v>
      </c>
      <c r="L13" s="2169"/>
      <c r="M13" s="2170"/>
    </row>
    <row r="14" spans="1:33" ht="18" customHeight="1">
      <c r="A14" s="1452" t="s">
        <v>1409</v>
      </c>
      <c r="B14" s="750" t="s">
        <v>593</v>
      </c>
      <c r="C14" s="770" t="e">
        <f ca="1">INDIRECT("'数据-取费表'!m"&amp;$G$1)+INDIRECT("'数据-取费表'!t"&amp;$G$1)</f>
        <v>#N/A</v>
      </c>
      <c r="D14" s="1733" t="s">
        <v>1274</v>
      </c>
      <c r="E14" s="1734"/>
      <c r="F14" s="771"/>
      <c r="G14" s="1785"/>
      <c r="H14" s="1453" t="s">
        <v>1359</v>
      </c>
      <c r="I14" s="1949" t="s">
        <v>2103</v>
      </c>
      <c r="J14" s="51" t="e">
        <f ca="1">C29</f>
        <v>#N/A</v>
      </c>
      <c r="K14" s="24"/>
      <c r="L14" s="767"/>
      <c r="M14" s="768"/>
    </row>
    <row r="15" spans="1:33" s="1787" customFormat="1" ht="18" customHeight="1" thickBot="1">
      <c r="A15" s="1452" t="s">
        <v>1410</v>
      </c>
      <c r="B15" s="750" t="s">
        <v>595</v>
      </c>
      <c r="C15" s="51" t="e">
        <f ca="1">ROUND(C14*F15,0)</f>
        <v>#N/A</v>
      </c>
      <c r="D15" s="772" t="s">
        <v>1275</v>
      </c>
      <c r="E15" s="772" t="s">
        <v>1276</v>
      </c>
      <c r="F15" s="773">
        <f>'数据-取费表'!B33</f>
        <v>0.03</v>
      </c>
      <c r="G15" s="3001"/>
      <c r="H15" s="2168" t="s">
        <v>1414</v>
      </c>
      <c r="I15" s="2163" t="s">
        <v>1273</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5"/>
      <c r="H16" s="1615" t="s">
        <v>1277</v>
      </c>
      <c r="I16" s="1613" t="s">
        <v>1278</v>
      </c>
      <c r="J16" s="758" t="e">
        <f ca="1">ROUND(J17+J22+J23+J24,0)</f>
        <v>#N/A</v>
      </c>
      <c r="K16" s="1607" t="s">
        <v>1279</v>
      </c>
      <c r="L16" s="2132"/>
      <c r="M16" s="2137"/>
    </row>
    <row r="17" spans="1:33" s="1787" customFormat="1" ht="18" customHeight="1">
      <c r="A17" s="1452" t="s">
        <v>1412</v>
      </c>
      <c r="B17" s="750" t="s">
        <v>601</v>
      </c>
      <c r="C17" s="51" t="e">
        <f ca="1">ROUND(F17*(F43+INDIRECT("'数据-取费表'!S"&amp;$G$1))/10000,0)</f>
        <v>#N/A</v>
      </c>
      <c r="D17" s="750" t="s">
        <v>1280</v>
      </c>
      <c r="E17" s="750" t="s">
        <v>1281</v>
      </c>
      <c r="F17" s="54">
        <f>'数据-取费表'!B35</f>
        <v>185</v>
      </c>
      <c r="G17" s="3001"/>
      <c r="H17" s="1453" t="s">
        <v>1359</v>
      </c>
      <c r="I17" s="750" t="s">
        <v>604</v>
      </c>
      <c r="J17" s="2761" t="e">
        <f ca="1">ROUND(IF(AND(项目基本情况!B11="自然人",项目基本情况!B10="北京市"),J6*M17/(1+'数据-取费表'!C42),J18+J19+J20),2)</f>
        <v>#N/A</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1275</v>
      </c>
      <c r="E18" s="750" t="s">
        <v>1276</v>
      </c>
      <c r="F18" s="775">
        <f>'数据-取费表'!B36</f>
        <v>1.4999999999999999E-2</v>
      </c>
      <c r="G18" s="3001"/>
      <c r="H18" s="1452" t="s">
        <v>1409</v>
      </c>
      <c r="I18" s="750" t="s">
        <v>1284</v>
      </c>
      <c r="J18" s="51" t="e">
        <f ca="1">ROUND(J6*M18/(1+'数据-取费表'!C42),2)</f>
        <v>#N/A</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t="e">
        <f ca="1">SUM(C14:C18)</f>
        <v>#N/A</v>
      </c>
      <c r="D19" s="252" t="s">
        <v>1286</v>
      </c>
      <c r="E19" s="1736"/>
      <c r="F19" s="54"/>
      <c r="G19" s="1785"/>
      <c r="H19" s="1452"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7" customFormat="1" ht="18" customHeight="1">
      <c r="A20" s="1453" t="s">
        <v>1414</v>
      </c>
      <c r="B20" s="750" t="s">
        <v>613</v>
      </c>
      <c r="C20" s="51" t="e">
        <f ca="1">ROUND(C19*F20,0)</f>
        <v>#N/A</v>
      </c>
      <c r="D20" s="777" t="s">
        <v>1288</v>
      </c>
      <c r="E20" s="750" t="s">
        <v>1276</v>
      </c>
      <c r="F20" s="775">
        <f>'数据-取费表'!B37</f>
        <v>0.02</v>
      </c>
      <c r="G20" s="3001"/>
      <c r="H20" s="1455" t="s">
        <v>1405</v>
      </c>
      <c r="I20" s="332" t="s">
        <v>1289</v>
      </c>
      <c r="J20" s="52" t="e">
        <f ca="1">ROUND(M20*M21/10000,2)</f>
        <v>#N/A</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单利计息。建造成本、管理费用、销售费用产生的利息。</v>
      </c>
      <c r="E22" s="1736"/>
      <c r="F22" s="54"/>
      <c r="G22" s="1785"/>
      <c r="H22" s="1453" t="s">
        <v>1414</v>
      </c>
      <c r="I22" s="750" t="s">
        <v>1297</v>
      </c>
      <c r="J22" s="51" t="e">
        <f ca="1">ROUND(J14*M22,2)</f>
        <v>#N/A</v>
      </c>
      <c r="K22" s="2130" t="s">
        <v>1298</v>
      </c>
      <c r="L22" s="750" t="s">
        <v>1276</v>
      </c>
      <c r="M22" s="782" t="e">
        <f ca="1">INDIRECT("'数据-取费表'!Ak"&amp;$G$1)</f>
        <v>#N/A</v>
      </c>
    </row>
    <row r="23" spans="1:33" s="1787" customFormat="1" ht="18" customHeight="1">
      <c r="A23" s="1452" t="s">
        <v>1360</v>
      </c>
      <c r="B23" s="750" t="s">
        <v>1818</v>
      </c>
      <c r="C23" s="51" t="e">
        <f ca="1">ROUND(IF('数据-取费表'!B22&lt;=1,(C19+C20)*F24*F23/2,(C19+C20)*(POWER((1+F24),F23/2)-1)),0)</f>
        <v>#N/A</v>
      </c>
      <c r="D23" s="2186" t="str">
        <f>IF(F23&lt;=1,"(建造成本+管理费用)×利率×(建设周期÷2)","(建造成本+管理费用)×((1+利率)^(建设周期÷2)-1)")</f>
        <v>(建造成本+管理费用)×利率×(建设周期÷2)</v>
      </c>
      <c r="E23" s="750" t="s">
        <v>1299</v>
      </c>
      <c r="F23" s="608">
        <f>'数据-取费表'!B20</f>
        <v>0.5</v>
      </c>
      <c r="G23" s="3001"/>
      <c r="H23" s="1453" t="s">
        <v>1415</v>
      </c>
      <c r="I23" s="750" t="s">
        <v>626</v>
      </c>
      <c r="J23" s="51" t="e">
        <f ca="1">ROUND(J13*M23,2)</f>
        <v>#N/A</v>
      </c>
      <c r="K23" s="2130" t="s">
        <v>1300</v>
      </c>
      <c r="L23" s="750" t="s">
        <v>1276</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2.0000000000000001E-4</v>
      </c>
      <c r="D24" s="2186" t="str">
        <f>IF(F23&lt;=1,"销售费用×利率×(建设周期÷2)","销售费用×((1+利率)^(建设周期÷2)-1)")</f>
        <v>销售费用×利率×(建设周期÷2)</v>
      </c>
      <c r="E24" s="750" t="s">
        <v>1302</v>
      </c>
      <c r="F24" s="784">
        <f ca="1">'数据-取费表'!B40</f>
        <v>3.4500000000000003E-2</v>
      </c>
      <c r="G24" s="3001"/>
      <c r="H24" s="2168" t="s">
        <v>1416</v>
      </c>
      <c r="I24" s="2163" t="s">
        <v>613</v>
      </c>
      <c r="J24" s="2161" t="e">
        <f ca="1">ROUND(J5*M24,2)</f>
        <v>#N/A</v>
      </c>
      <c r="K24" s="2162" t="s">
        <v>1303</v>
      </c>
      <c r="L24" s="2163" t="s">
        <v>1276</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t="e">
        <f ca="1">J5-J16</f>
        <v>#N/A</v>
      </c>
      <c r="K25" s="2165" t="s">
        <v>1306</v>
      </c>
      <c r="L25" s="2166"/>
      <c r="M25" s="2167"/>
    </row>
    <row r="26" spans="1:33" ht="18" customHeight="1">
      <c r="A26" s="1452" t="s">
        <v>1360</v>
      </c>
      <c r="B26" s="750" t="s">
        <v>1785</v>
      </c>
      <c r="C26" s="51" t="e">
        <f ca="1">ROUND((C19+C20)*F26,0)</f>
        <v>#N/A</v>
      </c>
      <c r="D26" s="777" t="s">
        <v>1307</v>
      </c>
      <c r="E26" s="761" t="s">
        <v>1308</v>
      </c>
      <c r="F26" s="760" t="e">
        <f ca="1">INDIRECT("'数据-取费表'!q"&amp;$G$1)</f>
        <v>#N/A</v>
      </c>
      <c r="G26" s="1785"/>
      <c r="H26" s="2148" t="s">
        <v>1309</v>
      </c>
      <c r="I26" s="1950" t="s">
        <v>2104</v>
      </c>
      <c r="J26" s="749" t="e">
        <f ca="1">IF(J5&lt;&gt;0,ROUND(J25*(1-((1+M28)/(1+M26))^M27)/(M26-M28),0),0)</f>
        <v>#N/A</v>
      </c>
      <c r="K26" s="779" t="s">
        <v>1310</v>
      </c>
      <c r="L26" s="750" t="s">
        <v>1773</v>
      </c>
      <c r="M26" s="760" t="e">
        <f ca="1">INDIRECT("'数据-取费表'!I"&amp;$G$1)</f>
        <v>#N/A</v>
      </c>
    </row>
    <row r="27" spans="1:33" ht="18" customHeight="1">
      <c r="A27" s="1452" t="s">
        <v>1361</v>
      </c>
      <c r="B27" s="750" t="s">
        <v>633</v>
      </c>
      <c r="C27" s="51" t="e">
        <f ca="1">ROUND(F21*F26,4)</f>
        <v>#N/A</v>
      </c>
      <c r="D27" s="777" t="s">
        <v>1311</v>
      </c>
      <c r="E27" s="772"/>
      <c r="F27" s="773"/>
      <c r="G27" s="1785"/>
      <c r="H27" s="2149"/>
      <c r="I27" s="753"/>
      <c r="J27" s="754"/>
      <c r="K27" s="786" t="s">
        <v>1312</v>
      </c>
      <c r="L27" s="750" t="s">
        <v>1313</v>
      </c>
      <c r="M27" s="787" t="e">
        <f ca="1">INDIRECT("'数据-取费表'!ag"&amp;$G$1)</f>
        <v>#N/A</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t="e">
        <f ca="1">ROUND(C31+C36+C37+C38,0)</f>
        <v>#N/A</v>
      </c>
      <c r="D30" s="1607" t="s">
        <v>1320</v>
      </c>
      <c r="E30" s="2132"/>
      <c r="F30" s="2137"/>
      <c r="G30" s="1785"/>
      <c r="H30" s="1788"/>
      <c r="I30" s="1789"/>
      <c r="J30" s="1790"/>
      <c r="K30" s="1791"/>
      <c r="L30" s="1792"/>
      <c r="M30" s="1793"/>
    </row>
    <row r="31" spans="1:33" ht="18" customHeight="1">
      <c r="A31" s="1453" t="s">
        <v>1359</v>
      </c>
      <c r="B31" s="750" t="s">
        <v>604</v>
      </c>
      <c r="C31" s="2761" t="e">
        <f ca="1">ROUND(IF(AND(项目基本情况!B11="自然人",项目基本情况!B10="北京市"),C6*F31/(1+'数据-取费表'!C42),C32+C33+C34),2)</f>
        <v>#N/A</v>
      </c>
      <c r="D31" s="1733" t="s">
        <v>1321</v>
      </c>
      <c r="E31" s="1731" t="s">
        <v>1322</v>
      </c>
      <c r="F31" s="2760"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t="e">
        <f ca="1">ROUND(C6*F32/(1+'数据-取费表'!C42),2)</f>
        <v>#N/A</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t="e">
        <f ca="1">ROUND(F34*F35/10000,2)</f>
        <v>#N/A</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t="e">
        <f ca="1">INDIRECT("'数据-取费表'!r"&amp;$G$1)</f>
        <v>#N/A</v>
      </c>
      <c r="G35" s="1785"/>
      <c r="H35" s="1788"/>
      <c r="I35" s="802" t="s">
        <v>1343</v>
      </c>
      <c r="J35" s="803" t="e">
        <f ca="1">ROUND(C13*J36,0)</f>
        <v>#N/A</v>
      </c>
      <c r="K35" s="1801"/>
      <c r="L35" s="1800"/>
      <c r="M35" s="1800"/>
    </row>
    <row r="36" spans="1:18" ht="18" customHeight="1">
      <c r="A36" s="1453" t="s">
        <v>1414</v>
      </c>
      <c r="B36" s="750" t="s">
        <v>1331</v>
      </c>
      <c r="C36" s="51" t="e">
        <f ca="1">ROUND(C29*F36,2)</f>
        <v>#N/A</v>
      </c>
      <c r="D36" s="1731" t="s">
        <v>1332</v>
      </c>
      <c r="E36" s="750" t="s">
        <v>1325</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1731" t="s">
        <v>1333</v>
      </c>
      <c r="E37" s="750" t="s">
        <v>1325</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1334</v>
      </c>
      <c r="E38" s="2163" t="s">
        <v>1325</v>
      </c>
      <c r="F38" s="2159" t="e">
        <f ca="1">INDIRECT("'数据-取费表'!Am"&amp;$G$1)</f>
        <v>#N/A</v>
      </c>
      <c r="G38" s="1785"/>
      <c r="H38" s="1800"/>
      <c r="I38" s="808" t="s">
        <v>1346</v>
      </c>
      <c r="J38" s="809"/>
      <c r="K38" s="1805"/>
      <c r="L38" s="1800"/>
      <c r="M38" s="1800"/>
    </row>
    <row r="39" spans="1:18" ht="24.6" customHeight="1" thickTop="1">
      <c r="A39" s="1615" t="s">
        <v>1419</v>
      </c>
      <c r="B39" s="2483" t="s">
        <v>2099</v>
      </c>
      <c r="C39" s="758" t="e">
        <f ca="1">C5-C30</f>
        <v>#N/A</v>
      </c>
      <c r="D39" s="2165" t="s">
        <v>1335</v>
      </c>
      <c r="E39" s="2166"/>
      <c r="F39" s="2167"/>
      <c r="G39" s="1785"/>
      <c r="H39" s="1800"/>
      <c r="I39" s="802" t="s">
        <v>1347</v>
      </c>
      <c r="J39" s="810" t="e">
        <f ca="1">ROUND(J35/C39,3)</f>
        <v>#N/A</v>
      </c>
      <c r="K39" s="1805"/>
      <c r="L39" s="1800"/>
      <c r="M39" s="1800"/>
    </row>
    <row r="40" spans="1:18" ht="18" customHeight="1">
      <c r="A40" s="747" t="s">
        <v>1420</v>
      </c>
      <c r="B40" s="1950" t="s">
        <v>1658</v>
      </c>
      <c r="C40" s="749" t="e">
        <f ca="1">ROUND(C39*(1-((1+F42)/(1+F40))^F41)/(F40-F42),0)</f>
        <v>#N/A</v>
      </c>
      <c r="D40" s="779" t="s">
        <v>1336</v>
      </c>
      <c r="E40" s="750" t="s">
        <v>1773</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2224</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1338</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t="e">
        <f ca="1">C67-C40</f>
        <v>#N/A</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t="e">
        <f ca="1">C48+C52+C54</f>
        <v>#N/A</v>
      </c>
      <c r="D47" s="3656"/>
      <c r="E47" s="3656"/>
      <c r="F47" s="3657"/>
      <c r="I47" s="2556" t="s">
        <v>1698</v>
      </c>
      <c r="J47" s="2072"/>
      <c r="K47" s="2562" t="s">
        <v>1703</v>
      </c>
      <c r="L47" s="2566" t="e">
        <f ca="1">INDIRECT("'数据-取费表'!d"&amp;$G$1)</f>
        <v>#N/A</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t="e">
        <f ca="1">ROUND(F48*F50*F49*(1-F51)/10000,0)</f>
        <v>#N/A</v>
      </c>
      <c r="D48" s="2066" t="s">
        <v>584</v>
      </c>
      <c r="E48" s="2067" t="s">
        <v>1653</v>
      </c>
      <c r="F48" s="2068" t="e">
        <f ca="1">M6</f>
        <v>#N/A</v>
      </c>
      <c r="G48" s="1812"/>
      <c r="I48" s="2553" t="s">
        <v>1699</v>
      </c>
      <c r="J48" s="2073"/>
      <c r="K48" s="2563" t="s">
        <v>1705</v>
      </c>
      <c r="L48" s="1663" t="e">
        <f ca="1">INDIRECT("'数据-取费表'!f"&amp;$G$1)</f>
        <v>#N/A</v>
      </c>
      <c r="M48" s="3003"/>
      <c r="O48" s="2089" t="s">
        <v>1733</v>
      </c>
      <c r="P48" s="2090" t="s">
        <v>1759</v>
      </c>
      <c r="Q48" s="2091" t="e">
        <f ca="1">C40+J29</f>
        <v>#N/A</v>
      </c>
      <c r="R48" s="2090" t="s">
        <v>1734</v>
      </c>
    </row>
    <row r="49" spans="1:18" s="1782" customFormat="1" ht="18" customHeight="1" thickBot="1">
      <c r="A49" s="752"/>
      <c r="B49" s="753"/>
      <c r="C49" s="754"/>
      <c r="D49" s="755"/>
      <c r="E49" s="750" t="s">
        <v>1268</v>
      </c>
      <c r="F49" s="751" t="e">
        <f ca="1">F7</f>
        <v>#N/A</v>
      </c>
      <c r="G49" s="1812"/>
      <c r="H49" s="1815"/>
      <c r="I49" s="2553" t="s">
        <v>1700</v>
      </c>
      <c r="J49" s="2074"/>
      <c r="K49" s="2564" t="s">
        <v>1706</v>
      </c>
      <c r="L49" s="2075"/>
      <c r="M49" s="3003"/>
      <c r="O49" s="2089" t="s">
        <v>1735</v>
      </c>
      <c r="P49" s="2090" t="s">
        <v>1760</v>
      </c>
      <c r="Q49" s="2091" t="e">
        <f ca="1">J60</f>
        <v>#N/A</v>
      </c>
      <c r="R49" s="2090" t="s">
        <v>1736</v>
      </c>
    </row>
    <row r="50" spans="1:18" s="1782" customFormat="1" ht="18" customHeight="1" thickBot="1">
      <c r="A50" s="752"/>
      <c r="B50" s="753"/>
      <c r="C50" s="754"/>
      <c r="D50" s="755"/>
      <c r="E50" s="750" t="s">
        <v>1269</v>
      </c>
      <c r="F50" s="751" t="e">
        <f ca="1">F8</f>
        <v>#N/A</v>
      </c>
      <c r="G50" s="1817"/>
      <c r="H50" s="1815"/>
      <c r="I50" s="2553" t="s">
        <v>1701</v>
      </c>
      <c r="J50" s="2560">
        <f>SUMPRODUCT((I63:I65=J47)*(J62:L62=J48)*(J63:L65))</f>
        <v>0</v>
      </c>
      <c r="K50" s="2564" t="s">
        <v>1707</v>
      </c>
      <c r="L50" s="2075"/>
      <c r="M50" s="3003"/>
      <c r="O50" s="2092" t="s">
        <v>1737</v>
      </c>
      <c r="P50" s="2090" t="s">
        <v>1761</v>
      </c>
      <c r="Q50" s="2091" t="e">
        <f ca="1">C29</f>
        <v>#N/A</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t="e">
        <f ca="1">ROUND(-PV(INDIRECT("'数据-取费表'!h"&amp;$G$1),J51,(C39-C13*J36),0),0)</f>
        <v>#N/A</v>
      </c>
      <c r="M51" s="3003"/>
      <c r="O51" s="2092" t="s">
        <v>1738</v>
      </c>
      <c r="P51" s="2090" t="s">
        <v>1739</v>
      </c>
      <c r="Q51" s="2093" t="e">
        <f ca="1">J58</f>
        <v>#N/A</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t="e">
        <f ca="1">IF(M47="住宅",IF(D1="——",MAX(J51,L48),MAX(J51,L48-'数据-取费表'!B20)),IF(D1="——",MIN(J51,L48),MIN(J51,L48-'数据-取费表'!B20)))</f>
        <v>#N/A</v>
      </c>
      <c r="K53" s="4008" t="s">
        <v>2226</v>
      </c>
      <c r="L53" s="4009"/>
      <c r="M53" s="3003"/>
      <c r="O53" s="2092" t="s">
        <v>1742</v>
      </c>
      <c r="P53" s="2090" t="s">
        <v>1743</v>
      </c>
      <c r="Q53" s="2091" t="e">
        <f ca="1">J53</f>
        <v>#N/A</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t="e">
        <f ca="1">Q48+Q49</f>
        <v>#N/A</v>
      </c>
      <c r="R54" s="2094" t="s">
        <v>1746</v>
      </c>
    </row>
    <row r="55" spans="1:18" s="1782"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7"/>
      <c r="M55" s="3003"/>
      <c r="O55" s="2095" t="s">
        <v>1765</v>
      </c>
      <c r="P55" s="1404"/>
      <c r="Q55" s="1412"/>
      <c r="R55" s="1404"/>
    </row>
    <row r="56" spans="1:18" s="1782" customFormat="1" ht="42.75" customHeight="1" thickBot="1">
      <c r="A56" s="1454"/>
      <c r="B56" s="1949" t="s">
        <v>1659</v>
      </c>
      <c r="C56" s="51" t="e">
        <f ca="1">C29</f>
        <v>#N/A</v>
      </c>
      <c r="D56" s="2244"/>
      <c r="E56" s="750"/>
      <c r="F56" s="775"/>
      <c r="I56" s="2572" t="s">
        <v>1711</v>
      </c>
      <c r="J56" s="2582"/>
      <c r="K56" s="2553" t="s">
        <v>1716</v>
      </c>
      <c r="L56" s="1663" t="e">
        <f ca="1">IF(L48&lt;J51,"——",L48-J51)</f>
        <v>#N/A</v>
      </c>
      <c r="M56" s="3003"/>
      <c r="O56" s="2086" t="s">
        <v>1729</v>
      </c>
      <c r="P56" s="2087" t="s">
        <v>1730</v>
      </c>
      <c r="Q56" s="2088" t="s">
        <v>1731</v>
      </c>
      <c r="R56" s="2087" t="s">
        <v>1732</v>
      </c>
    </row>
    <row r="57" spans="1:18" s="1782"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3" t="e">
        <f ca="1">IF(L48&lt;J51,"——",IF(L55="比较法",L49,IF(L55="基准地价",L50,L51)))</f>
        <v>#N/A</v>
      </c>
      <c r="M57" s="3003"/>
      <c r="O57" s="2089" t="s">
        <v>1733</v>
      </c>
      <c r="P57" s="2090" t="s">
        <v>1763</v>
      </c>
      <c r="Q57" s="2091" t="e">
        <f ca="1">C40+J29</f>
        <v>#N/A</v>
      </c>
      <c r="R57" s="2090" t="s">
        <v>1734</v>
      </c>
    </row>
    <row r="58" spans="1:18" s="1782" customFormat="1" ht="28.5" customHeight="1" thickBot="1">
      <c r="A58" s="1453"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3" t="e">
        <f ca="1">ROUND(POWER(1+L52,L47-L48)*(POWER(1+L52,L48)-1)/(POWER(1+L52,L47)-1),4)</f>
        <v>#N/A</v>
      </c>
      <c r="M58" s="3003"/>
      <c r="O58" s="2089" t="s">
        <v>1735</v>
      </c>
      <c r="P58" s="2090" t="s">
        <v>1766</v>
      </c>
      <c r="Q58" s="2091" t="e">
        <f ca="1">L60</f>
        <v>#N/A</v>
      </c>
      <c r="R58" s="2094" t="s">
        <v>1768</v>
      </c>
    </row>
    <row r="59" spans="1:18" s="1782" customFormat="1" ht="28.5" customHeight="1" thickBot="1">
      <c r="A59" s="1452" t="s">
        <v>1360</v>
      </c>
      <c r="B59" s="750" t="s">
        <v>608</v>
      </c>
      <c r="C59" s="51" t="e">
        <f ca="1">ROUND(C47*F59/1.05,2)</f>
        <v>#N/A</v>
      </c>
      <c r="D59" s="2244" t="s">
        <v>1285</v>
      </c>
      <c r="E59" s="750" t="s">
        <v>1276</v>
      </c>
      <c r="F59" s="775">
        <f t="shared" ref="F59:F65" si="0">F32</f>
        <v>5.5000000000000007E-2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#N/A</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3"/>
      <c r="O60" s="2092" t="s">
        <v>1738</v>
      </c>
      <c r="P60" s="2090" t="s">
        <v>1747</v>
      </c>
      <c r="Q60" s="2093">
        <f>L52</f>
        <v>0</v>
      </c>
      <c r="R60" s="2094"/>
    </row>
    <row r="61" spans="1:18" s="1782" customFormat="1" ht="18" customHeight="1" thickBot="1">
      <c r="A61" s="1455" t="s">
        <v>1362</v>
      </c>
      <c r="B61" s="332" t="s">
        <v>615</v>
      </c>
      <c r="C61" s="52" t="e">
        <f ca="1">ROUND(F61*F62/10000,2)</f>
        <v>#N/A</v>
      </c>
      <c r="D61" s="779" t="s">
        <v>616</v>
      </c>
      <c r="E61" s="750" t="s">
        <v>617</v>
      </c>
      <c r="F61" s="608">
        <f t="shared" si="0"/>
        <v>1.5</v>
      </c>
      <c r="K61" s="1808"/>
      <c r="O61" s="2092" t="s">
        <v>1740</v>
      </c>
      <c r="P61" s="2090" t="s">
        <v>1748</v>
      </c>
      <c r="Q61" s="2091" t="e">
        <f ca="1">L58</f>
        <v>#N/A</v>
      </c>
      <c r="R61" s="2094" t="s">
        <v>1749</v>
      </c>
    </row>
    <row r="62" spans="1:18" s="1782" customFormat="1" ht="16.2" thickBot="1">
      <c r="A62" s="780"/>
      <c r="B62" s="759"/>
      <c r="C62" s="67"/>
      <c r="D62" s="781"/>
      <c r="E62" s="750" t="s">
        <v>621</v>
      </c>
      <c r="F62" s="751" t="e">
        <f t="shared" ca="1" si="0"/>
        <v>#N/A</v>
      </c>
      <c r="I62" s="2578" t="s">
        <v>1721</v>
      </c>
      <c r="J62" s="2579" t="s">
        <v>1722</v>
      </c>
      <c r="K62" s="2579" t="s">
        <v>1723</v>
      </c>
      <c r="L62" s="2579" t="s">
        <v>1704</v>
      </c>
      <c r="M62" s="2580" t="s">
        <v>2205</v>
      </c>
      <c r="O62" s="2092" t="s">
        <v>1742</v>
      </c>
      <c r="P62" s="2090" t="str">
        <f>K59</f>
        <v>建筑物剩余耐用年限下的土地年期修正系数Kn</v>
      </c>
      <c r="Q62" s="2091" t="e">
        <f ca="1">L59</f>
        <v>#N/A</v>
      </c>
      <c r="R62" s="2094" t="s">
        <v>1751</v>
      </c>
    </row>
    <row r="63" spans="1:18" s="1782" customFormat="1" ht="16.2" thickBot="1">
      <c r="A63" s="1453"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89" t="s">
        <v>1745</v>
      </c>
      <c r="P63" s="2090" t="s">
        <v>1762</v>
      </c>
      <c r="Q63" s="2091" t="e">
        <f ca="1">Q57+Q58</f>
        <v>#N/A</v>
      </c>
      <c r="R63" s="2094" t="s">
        <v>1746</v>
      </c>
    </row>
    <row r="64" spans="1:18" s="1782" customFormat="1" ht="16.2" thickBot="1">
      <c r="A64" s="1453" t="s">
        <v>1415</v>
      </c>
      <c r="B64" s="750" t="s">
        <v>626</v>
      </c>
      <c r="C64" s="51" t="e">
        <f ca="1">ROUND(C55*F64,2)</f>
        <v>#N/A</v>
      </c>
      <c r="D64" s="2244" t="s">
        <v>627</v>
      </c>
      <c r="E64" s="750" t="s">
        <v>1276</v>
      </c>
      <c r="F64" s="783" t="e">
        <f t="shared" ca="1" si="0"/>
        <v>#N/A</v>
      </c>
      <c r="I64" s="2578" t="s">
        <v>1725</v>
      </c>
      <c r="J64" s="2579">
        <v>50</v>
      </c>
      <c r="K64" s="2579">
        <v>35</v>
      </c>
      <c r="L64" s="2579">
        <v>60</v>
      </c>
      <c r="M64" s="811">
        <v>0</v>
      </c>
      <c r="O64" s="2095" t="s">
        <v>1769</v>
      </c>
      <c r="P64" s="1404"/>
      <c r="Q64" s="1412"/>
      <c r="R64" s="1404"/>
    </row>
    <row r="65" spans="1:18" s="1782" customFormat="1" ht="16.2" thickBot="1">
      <c r="A65" s="1453"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6" t="s">
        <v>1729</v>
      </c>
      <c r="P65" s="2087" t="s">
        <v>1730</v>
      </c>
      <c r="Q65" s="2088" t="s">
        <v>1731</v>
      </c>
      <c r="R65" s="2087" t="s">
        <v>1732</v>
      </c>
    </row>
    <row r="66" spans="1:18" s="1782" customFormat="1" ht="24.6" thickBot="1">
      <c r="A66" s="763" t="s">
        <v>1305</v>
      </c>
      <c r="B66" s="2484" t="s">
        <v>2099</v>
      </c>
      <c r="C66" s="765" t="e">
        <f ca="1">C47-C57</f>
        <v>#N/A</v>
      </c>
      <c r="D66" s="2243" t="s">
        <v>647</v>
      </c>
      <c r="E66" s="2242"/>
      <c r="F66" s="785"/>
      <c r="K66" s="1808"/>
      <c r="O66" s="2089" t="s">
        <v>1733</v>
      </c>
      <c r="P66" s="2090" t="s">
        <v>1763</v>
      </c>
      <c r="Q66" s="2091" t="e">
        <f ca="1">C40+J29</f>
        <v>#N/A</v>
      </c>
      <c r="R66" s="2090" t="s">
        <v>1734</v>
      </c>
    </row>
    <row r="67" spans="1:18" s="1782" customFormat="1" ht="19.2" thickBot="1">
      <c r="A67" s="747" t="s">
        <v>1309</v>
      </c>
      <c r="B67" s="1950" t="s">
        <v>1658</v>
      </c>
      <c r="C67" s="749" t="e">
        <f ca="1">ROUND(C66*(1-((1+F69)/(1+F67))^F68)/(F67-F69),0)</f>
        <v>#N/A</v>
      </c>
      <c r="D67" s="779" t="s">
        <v>651</v>
      </c>
      <c r="E67" s="750" t="s">
        <v>652</v>
      </c>
      <c r="F67" s="760" t="e">
        <f ca="1">F40</f>
        <v>#N/A</v>
      </c>
      <c r="K67" s="1808"/>
      <c r="O67" s="2089" t="s">
        <v>1735</v>
      </c>
      <c r="P67" s="2090" t="s">
        <v>1766</v>
      </c>
      <c r="Q67" s="2091" t="e">
        <f ca="1">L60</f>
        <v>#N/A</v>
      </c>
      <c r="R67" s="2094" t="s">
        <v>1768</v>
      </c>
    </row>
    <row r="68" spans="1:18" ht="20.399999999999999" thickBot="1">
      <c r="A68" s="752"/>
      <c r="B68" s="753"/>
      <c r="C68" s="754"/>
      <c r="D68" s="786" t="s">
        <v>1337</v>
      </c>
      <c r="E68" s="750" t="s">
        <v>1313</v>
      </c>
      <c r="F68" s="787" t="e">
        <f ca="1">F41</f>
        <v>#N/A</v>
      </c>
      <c r="O68" s="2092" t="s">
        <v>1737</v>
      </c>
      <c r="P68" s="2090" t="s">
        <v>1767</v>
      </c>
      <c r="Q68" s="2096" t="e">
        <f ca="1">L51</f>
        <v>#N/A</v>
      </c>
      <c r="R68" s="2097" t="s">
        <v>1770</v>
      </c>
    </row>
    <row r="69" spans="1:18" ht="19.2" thickBot="1">
      <c r="A69" s="756"/>
      <c r="B69" s="757"/>
      <c r="C69" s="758"/>
      <c r="D69" s="781"/>
      <c r="E69" s="750" t="s">
        <v>657</v>
      </c>
      <c r="F69" s="2064"/>
      <c r="O69" s="2092" t="s">
        <v>1738</v>
      </c>
      <c r="P69" s="2098" t="s">
        <v>1752</v>
      </c>
      <c r="Q69" s="2091" t="e">
        <f ca="1">ROUND(Q70-Q71*Q72,0)</f>
        <v>#N/A</v>
      </c>
      <c r="R69" s="2094"/>
    </row>
    <row r="70" spans="1:18" ht="16.2" thickBot="1">
      <c r="A70" s="788" t="s">
        <v>1316</v>
      </c>
      <c r="B70" s="789" t="s">
        <v>1339</v>
      </c>
      <c r="C70" s="790" t="e">
        <f ca="1">ROUND(C67*10000/F70,0)</f>
        <v>#N/A</v>
      </c>
      <c r="D70" s="791" t="s">
        <v>1340</v>
      </c>
      <c r="E70" s="792" t="s">
        <v>1341</v>
      </c>
      <c r="F70" s="793" t="e">
        <f ca="1">F43</f>
        <v>#N/A</v>
      </c>
      <c r="O70" s="2092" t="s">
        <v>1753</v>
      </c>
      <c r="P70" s="2098" t="s">
        <v>1754</v>
      </c>
      <c r="Q70" s="2091" t="e">
        <f ca="1">C39</f>
        <v>#N/A</v>
      </c>
      <c r="R70" s="2090" t="s">
        <v>1734</v>
      </c>
    </row>
    <row r="71" spans="1:18" ht="16.2" thickBot="1">
      <c r="O71" s="2092" t="s">
        <v>1755</v>
      </c>
      <c r="P71" s="2098" t="s">
        <v>1756</v>
      </c>
      <c r="Q71" s="2091" t="e">
        <f ca="1">C13</f>
        <v>#N/A</v>
      </c>
      <c r="R71" s="2090" t="s">
        <v>1734</v>
      </c>
    </row>
    <row r="72" spans="1:18" ht="16.2" thickBot="1">
      <c r="O72" s="2092" t="s">
        <v>1757</v>
      </c>
      <c r="P72" s="2098" t="s">
        <v>1758</v>
      </c>
      <c r="Q72" s="2093" t="e">
        <f ca="1">J36</f>
        <v>#N/A</v>
      </c>
      <c r="R72" s="2094"/>
    </row>
    <row r="73" spans="1:18" ht="16.2" thickBot="1">
      <c r="O73" s="2092" t="s">
        <v>1740</v>
      </c>
      <c r="P73" s="2090" t="s">
        <v>1747</v>
      </c>
      <c r="Q73" s="2093">
        <f>L52</f>
        <v>0</v>
      </c>
      <c r="R73" s="2094"/>
    </row>
    <row r="74" spans="1:18" ht="19.2" thickBot="1">
      <c r="O74" s="2092" t="s">
        <v>1742</v>
      </c>
      <c r="P74" s="2090" t="s">
        <v>1748</v>
      </c>
      <c r="Q74" s="2091" t="e">
        <f ca="1">L58</f>
        <v>#N/A</v>
      </c>
      <c r="R74" s="2094" t="s">
        <v>1749</v>
      </c>
    </row>
    <row r="75" spans="1:18" ht="16.2" thickBot="1">
      <c r="O75" s="2092" t="s">
        <v>1771</v>
      </c>
      <c r="P75" s="2090" t="str">
        <f>K59</f>
        <v>建筑物剩余耐用年限下的土地年期修正系数Kn</v>
      </c>
      <c r="Q75" s="2091" t="e">
        <f ca="1">L59</f>
        <v>#N/A</v>
      </c>
      <c r="R75" s="2094" t="s">
        <v>1751</v>
      </c>
    </row>
    <row r="76" spans="1:18" ht="16.2" thickBot="1">
      <c r="O76" s="2089" t="s">
        <v>1745</v>
      </c>
      <c r="P76" s="2090" t="s">
        <v>1762</v>
      </c>
      <c r="Q76" s="2091" t="e">
        <f ca="1">Q66+Q67</f>
        <v>#N/A</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2444</v>
      </c>
      <c r="B1" s="3057"/>
      <c r="C1" s="3070"/>
      <c r="D1" s="3070"/>
      <c r="E1" s="3058"/>
      <c r="F1" s="3059"/>
      <c r="G1" s="3060"/>
      <c r="J1" s="3063" t="s">
        <v>2301</v>
      </c>
      <c r="K1" s="3064"/>
      <c r="L1" s="3064"/>
      <c r="M1" s="3064"/>
      <c r="N1" s="3064"/>
      <c r="O1" s="3064"/>
      <c r="P1" s="3064"/>
      <c r="Q1" s="3064"/>
      <c r="R1" s="3065"/>
      <c r="S1" s="3066"/>
      <c r="T1" s="3066"/>
      <c r="U1" s="3066"/>
    </row>
    <row r="2" spans="1:22" s="3079" customFormat="1" ht="13.2" customHeight="1">
      <c r="A2" s="3068" t="s">
        <v>2302</v>
      </c>
      <c r="B2" s="3069" t="e">
        <f>C40</f>
        <v>#DIV/0!</v>
      </c>
      <c r="C2" s="3070" t="s">
        <v>2303</v>
      </c>
      <c r="D2" s="3070"/>
      <c r="E2" s="3071"/>
      <c r="F2" s="3072"/>
      <c r="G2" s="3073"/>
      <c r="H2" s="3074"/>
      <c r="I2" s="3075"/>
      <c r="J2" s="4010" t="s">
        <v>2304</v>
      </c>
      <c r="K2" s="4011"/>
      <c r="L2" s="3076" t="s">
        <v>2305</v>
      </c>
      <c r="M2" s="3076" t="s">
        <v>2306</v>
      </c>
      <c r="N2" s="3076" t="s">
        <v>2307</v>
      </c>
      <c r="O2" s="3076" t="s">
        <v>2308</v>
      </c>
      <c r="P2" s="3076" t="s">
        <v>2309</v>
      </c>
      <c r="Q2" s="3077" t="s">
        <v>2310</v>
      </c>
      <c r="R2" s="3078" t="s">
        <v>2311</v>
      </c>
      <c r="S2" s="3066"/>
      <c r="T2" s="3066"/>
      <c r="U2" s="3066"/>
      <c r="V2" s="3075"/>
    </row>
    <row r="3" spans="1:22" s="3079" customFormat="1" ht="13.2" customHeight="1">
      <c r="A3" s="3080" t="s">
        <v>2312</v>
      </c>
      <c r="B3" s="3081" t="e">
        <f>ROUND(B2*10000/B4,0)</f>
        <v>#DIV/0!</v>
      </c>
      <c r="C3" s="3070" t="s">
        <v>2313</v>
      </c>
      <c r="D3" s="3070"/>
      <c r="E3" s="3071"/>
      <c r="F3" s="3072"/>
      <c r="G3" s="3073"/>
      <c r="H3" s="3074"/>
      <c r="I3" s="3075"/>
      <c r="J3" s="4012" t="s">
        <v>2314</v>
      </c>
      <c r="K3" s="4013"/>
      <c r="L3" s="3082"/>
      <c r="M3" s="3082"/>
      <c r="N3" s="3082"/>
      <c r="O3" s="3082"/>
      <c r="P3" s="3082"/>
      <c r="Q3" s="3083"/>
      <c r="R3" s="3084">
        <f>SUM(L3:Q3)</f>
        <v>0</v>
      </c>
      <c r="S3" s="3066"/>
      <c r="T3" s="3066"/>
      <c r="U3" s="3066"/>
      <c r="V3" s="3075"/>
    </row>
    <row r="4" spans="1:22" s="3079" customFormat="1" ht="13.2" customHeight="1">
      <c r="A4" s="3085" t="s">
        <v>2315</v>
      </c>
      <c r="B4" s="3086"/>
      <c r="C4" s="3070"/>
      <c r="D4" s="3070"/>
      <c r="E4" s="3071"/>
      <c r="F4" s="3072"/>
      <c r="G4" s="3073"/>
      <c r="H4" s="3074"/>
      <c r="I4" s="3075"/>
      <c r="J4" s="4012" t="s">
        <v>2316</v>
      </c>
      <c r="K4" s="4013"/>
      <c r="L4" s="3087"/>
      <c r="M4" s="3087"/>
      <c r="N4" s="3087"/>
      <c r="O4" s="3087"/>
      <c r="P4" s="3087"/>
      <c r="Q4" s="3088"/>
      <c r="R4" s="3089">
        <f>SUM(L4:Q4)</f>
        <v>0</v>
      </c>
      <c r="S4" s="3066"/>
      <c r="T4" s="3066"/>
      <c r="U4" s="3066"/>
      <c r="V4" s="3075"/>
    </row>
    <row r="5" spans="1:22" s="3079" customFormat="1" ht="13.2" customHeight="1" thickBot="1">
      <c r="A5" s="3090" t="s">
        <v>2317</v>
      </c>
      <c r="B5" s="3091"/>
      <c r="C5" s="3070"/>
      <c r="D5" s="3092"/>
      <c r="E5" s="3072"/>
      <c r="F5" s="3072"/>
      <c r="G5" s="3073"/>
      <c r="H5" s="3074"/>
      <c r="I5" s="3075"/>
      <c r="J5" s="3093" t="s">
        <v>2318</v>
      </c>
      <c r="K5" s="3094"/>
      <c r="L5" s="3094"/>
      <c r="M5" s="3095"/>
      <c r="N5" s="3095"/>
      <c r="O5" s="3095"/>
      <c r="P5" s="3095"/>
      <c r="Q5" s="3095"/>
      <c r="R5" s="3078">
        <f>SUM(R14,R19,R24,R25,R27,R28)</f>
        <v>0</v>
      </c>
      <c r="S5" s="3066"/>
      <c r="T5" s="3066" t="s">
        <v>2319</v>
      </c>
      <c r="U5" s="3066" t="e">
        <f>ROUND(R5*10000/365/R3,1)</f>
        <v>#DIV/0!</v>
      </c>
      <c r="V5" s="3075"/>
    </row>
    <row r="6" spans="1:22" s="3079" customFormat="1" ht="13.2" customHeight="1" thickBot="1">
      <c r="A6" s="4014" t="s">
        <v>2320</v>
      </c>
      <c r="B6" s="4015"/>
      <c r="C6" s="4016"/>
      <c r="D6" s="3096"/>
      <c r="E6" s="3097"/>
      <c r="F6" s="3098"/>
      <c r="G6" s="3099"/>
      <c r="H6" s="3074"/>
      <c r="I6" s="3075"/>
      <c r="J6" s="4017">
        <v>1</v>
      </c>
      <c r="K6" s="4018" t="s">
        <v>2321</v>
      </c>
      <c r="L6" s="3100" t="s">
        <v>2322</v>
      </c>
      <c r="M6" s="3101" t="s">
        <v>2323</v>
      </c>
      <c r="N6" s="3101" t="s">
        <v>2324</v>
      </c>
      <c r="O6" s="3101" t="s">
        <v>2325</v>
      </c>
      <c r="P6" s="3101" t="s">
        <v>2326</v>
      </c>
      <c r="Q6" s="3101" t="s">
        <v>2327</v>
      </c>
      <c r="R6" s="3084" t="s">
        <v>2328</v>
      </c>
      <c r="S6" s="3066"/>
      <c r="T6" s="3066" t="s">
        <v>2329</v>
      </c>
      <c r="U6" s="3066"/>
      <c r="V6" s="3075"/>
    </row>
    <row r="7" spans="1:22" s="3079" customFormat="1" ht="13.2" customHeight="1">
      <c r="A7" s="3102" t="s">
        <v>2330</v>
      </c>
      <c r="B7" s="3103"/>
      <c r="C7" s="3104"/>
      <c r="D7" s="3105">
        <f>SUM(D9,D10,D11,D17,0)</f>
        <v>0</v>
      </c>
      <c r="E7" s="3106" t="e">
        <f>E9+E10+E11+E17</f>
        <v>#DIV/0!</v>
      </c>
      <c r="F7" s="3107"/>
      <c r="G7" s="3108"/>
      <c r="H7" s="3074"/>
      <c r="I7" s="3075"/>
      <c r="J7" s="4017"/>
      <c r="K7" s="4019"/>
      <c r="L7" s="3109" t="s">
        <v>2331</v>
      </c>
      <c r="M7" s="3110"/>
      <c r="N7" s="3086"/>
      <c r="O7" s="3111"/>
      <c r="P7" s="3111"/>
      <c r="Q7" s="3112">
        <v>365</v>
      </c>
      <c r="R7" s="3113">
        <f>ROUND(M7*N7*O7*P7*Q7/10000,0)</f>
        <v>0</v>
      </c>
      <c r="S7" s="3066"/>
      <c r="T7" s="3066" t="s">
        <v>2332</v>
      </c>
      <c r="U7" s="3066"/>
      <c r="V7" s="3075"/>
    </row>
    <row r="8" spans="1:22" s="3079" customFormat="1" ht="13.2" customHeight="1">
      <c r="A8" s="3114" t="s">
        <v>2333</v>
      </c>
      <c r="B8" s="4021" t="s">
        <v>2334</v>
      </c>
      <c r="C8" s="4022"/>
      <c r="D8" s="3115" t="s">
        <v>2335</v>
      </c>
      <c r="E8" s="3116" t="s">
        <v>2336</v>
      </c>
      <c r="F8" s="3117" t="s">
        <v>2337</v>
      </c>
      <c r="G8" s="3118"/>
      <c r="H8" s="3074"/>
      <c r="I8" s="3075"/>
      <c r="J8" s="4017"/>
      <c r="K8" s="4019"/>
      <c r="L8" s="3109" t="s">
        <v>2338</v>
      </c>
      <c r="M8" s="3110"/>
      <c r="N8" s="3086"/>
      <c r="O8" s="3111"/>
      <c r="P8" s="3111"/>
      <c r="Q8" s="3112">
        <v>365</v>
      </c>
      <c r="R8" s="3113">
        <f t="shared" ref="R8:R13" si="0">ROUND(M8*N8*O8*P8*Q8/10000,0)</f>
        <v>0</v>
      </c>
      <c r="S8" s="3066"/>
      <c r="T8" s="3066" t="s">
        <v>2339</v>
      </c>
      <c r="U8" s="3066"/>
      <c r="V8" s="3075"/>
    </row>
    <row r="9" spans="1:22" s="3079" customFormat="1" ht="13.2" customHeight="1">
      <c r="A9" s="3114">
        <v>1</v>
      </c>
      <c r="B9" s="4021" t="s">
        <v>2340</v>
      </c>
      <c r="C9" s="4022"/>
      <c r="D9" s="3115">
        <f>ROUND(D6*E9,0)</f>
        <v>0</v>
      </c>
      <c r="E9" s="3119"/>
      <c r="F9" s="3120" t="s">
        <v>2341</v>
      </c>
      <c r="G9" s="3099"/>
      <c r="H9" s="3074"/>
      <c r="I9" s="3075"/>
      <c r="J9" s="4017"/>
      <c r="K9" s="4019"/>
      <c r="L9" s="3109" t="s">
        <v>2342</v>
      </c>
      <c r="M9" s="3110"/>
      <c r="N9" s="3086"/>
      <c r="O9" s="3111"/>
      <c r="P9" s="3111"/>
      <c r="Q9" s="3112">
        <v>365</v>
      </c>
      <c r="R9" s="3113">
        <f t="shared" si="0"/>
        <v>0</v>
      </c>
      <c r="S9" s="3066"/>
      <c r="T9" s="3066"/>
      <c r="U9" s="3066"/>
      <c r="V9" s="3075"/>
    </row>
    <row r="10" spans="1:22" s="3079" customFormat="1" ht="13.2" customHeight="1">
      <c r="A10" s="3114">
        <v>2</v>
      </c>
      <c r="B10" s="4021" t="s">
        <v>2343</v>
      </c>
      <c r="C10" s="4022"/>
      <c r="D10" s="3115">
        <f>ROUND(D6*E10,0)</f>
        <v>0</v>
      </c>
      <c r="E10" s="3119"/>
      <c r="F10" s="3120" t="s">
        <v>2344</v>
      </c>
      <c r="G10" s="3099"/>
      <c r="H10" s="3074"/>
      <c r="I10" s="3075"/>
      <c r="J10" s="4017"/>
      <c r="K10" s="4019"/>
      <c r="L10" s="3109" t="s">
        <v>2345</v>
      </c>
      <c r="M10" s="3110"/>
      <c r="N10" s="3086"/>
      <c r="O10" s="3111"/>
      <c r="P10" s="3111"/>
      <c r="Q10" s="3112">
        <v>365</v>
      </c>
      <c r="R10" s="3113">
        <f t="shared" si="0"/>
        <v>0</v>
      </c>
      <c r="S10" s="3066"/>
      <c r="T10" s="3066"/>
      <c r="U10" s="3066"/>
      <c r="V10" s="3075"/>
    </row>
    <row r="11" spans="1:22" s="3079" customFormat="1" ht="13.2" customHeight="1">
      <c r="A11" s="3114">
        <v>3</v>
      </c>
      <c r="B11" s="4021" t="s">
        <v>2346</v>
      </c>
      <c r="C11" s="4022"/>
      <c r="D11" s="3115">
        <f>D12+D14+D15+D16</f>
        <v>0</v>
      </c>
      <c r="E11" s="3121" t="e">
        <f>D11/D6</f>
        <v>#DIV/0!</v>
      </c>
      <c r="F11" s="3117"/>
      <c r="G11" s="3118"/>
      <c r="H11" s="3074"/>
      <c r="I11" s="3075"/>
      <c r="J11" s="4017"/>
      <c r="K11" s="4019"/>
      <c r="L11" s="3109" t="s">
        <v>2347</v>
      </c>
      <c r="M11" s="3110"/>
      <c r="N11" s="3086"/>
      <c r="O11" s="3111"/>
      <c r="P11" s="3111"/>
      <c r="Q11" s="3112">
        <v>365</v>
      </c>
      <c r="R11" s="3113">
        <f t="shared" si="0"/>
        <v>0</v>
      </c>
      <c r="S11" s="3066"/>
      <c r="T11" s="3066"/>
      <c r="U11" s="3066"/>
      <c r="V11" s="3075"/>
    </row>
    <row r="12" spans="1:22" s="3079" customFormat="1" ht="13.2" customHeight="1">
      <c r="A12" s="3122" t="s">
        <v>2348</v>
      </c>
      <c r="B12" s="4023" t="s">
        <v>2349</v>
      </c>
      <c r="C12" s="4024"/>
      <c r="D12" s="3123">
        <f>ROUND(D13*1.2%*(1-30%),0)</f>
        <v>0</v>
      </c>
      <c r="E12" s="3124">
        <v>1.2E-2</v>
      </c>
      <c r="F12" s="3117" t="s">
        <v>2350</v>
      </c>
      <c r="G12" s="3118"/>
      <c r="H12" s="3074"/>
      <c r="I12" s="3075"/>
      <c r="J12" s="4017"/>
      <c r="K12" s="4019"/>
      <c r="L12" s="3109" t="s">
        <v>2351</v>
      </c>
      <c r="M12" s="3110"/>
      <c r="N12" s="3086"/>
      <c r="O12" s="3111"/>
      <c r="P12" s="3111"/>
      <c r="Q12" s="3112">
        <v>365</v>
      </c>
      <c r="R12" s="3113">
        <f t="shared" si="0"/>
        <v>0</v>
      </c>
      <c r="S12" s="3066"/>
      <c r="T12" s="3066"/>
      <c r="U12" s="3066"/>
      <c r="V12" s="3075"/>
    </row>
    <row r="13" spans="1:22" s="3079" customFormat="1" ht="13.2" customHeight="1">
      <c r="A13" s="3122"/>
      <c r="B13" s="3125"/>
      <c r="C13" s="3126" t="s">
        <v>2352</v>
      </c>
      <c r="D13" s="3127"/>
      <c r="E13" s="3128"/>
      <c r="F13" s="3117"/>
      <c r="G13" s="3118"/>
      <c r="H13" s="3074"/>
      <c r="I13" s="3075"/>
      <c r="J13" s="4017"/>
      <c r="K13" s="4019"/>
      <c r="L13" s="3109" t="s">
        <v>2353</v>
      </c>
      <c r="M13" s="3110"/>
      <c r="N13" s="3086"/>
      <c r="O13" s="3111"/>
      <c r="P13" s="3111"/>
      <c r="Q13" s="3112">
        <v>365</v>
      </c>
      <c r="R13" s="3113">
        <f t="shared" si="0"/>
        <v>0</v>
      </c>
      <c r="S13" s="3066"/>
      <c r="T13" s="3066"/>
      <c r="U13" s="3066"/>
      <c r="V13" s="3075"/>
    </row>
    <row r="14" spans="1:22" s="3079" customFormat="1" ht="13.2" customHeight="1">
      <c r="A14" s="3122" t="s">
        <v>2354</v>
      </c>
      <c r="B14" s="4023" t="s">
        <v>2355</v>
      </c>
      <c r="C14" s="4024"/>
      <c r="D14" s="3123">
        <f>ROUND(E14*B5/10000,0)</f>
        <v>0</v>
      </c>
      <c r="E14" s="3112"/>
      <c r="F14" s="3117" t="s">
        <v>2356</v>
      </c>
      <c r="G14" s="3118"/>
      <c r="H14" s="3074"/>
      <c r="I14" s="3075"/>
      <c r="J14" s="4017"/>
      <c r="K14" s="4020"/>
      <c r="L14" s="3129" t="s">
        <v>2357</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2358</v>
      </c>
      <c r="B15" s="4023" t="s">
        <v>2359</v>
      </c>
      <c r="C15" s="4024"/>
      <c r="D15" s="3123">
        <f>ROUND(D6*E15,0)</f>
        <v>0</v>
      </c>
      <c r="E15" s="3124">
        <v>5.5E-2</v>
      </c>
      <c r="F15" s="3117" t="s">
        <v>2360</v>
      </c>
      <c r="G15" s="3099"/>
      <c r="H15" s="3074"/>
      <c r="I15" s="3075"/>
      <c r="J15" s="4017">
        <v>2</v>
      </c>
      <c r="K15" s="4018" t="s">
        <v>2361</v>
      </c>
      <c r="L15" s="3109" t="s">
        <v>2362</v>
      </c>
      <c r="M15" s="3110" t="s">
        <v>2363</v>
      </c>
      <c r="N15" s="3110" t="s">
        <v>2364</v>
      </c>
      <c r="O15" s="3111" t="s">
        <v>2365</v>
      </c>
      <c r="P15" s="3111" t="s">
        <v>2366</v>
      </c>
      <c r="Q15" s="3086" t="s">
        <v>2367</v>
      </c>
      <c r="R15" s="3133" t="s">
        <v>2368</v>
      </c>
      <c r="S15" s="3066"/>
      <c r="T15" s="3066"/>
      <c r="U15" s="3066"/>
      <c r="V15" s="3075"/>
    </row>
    <row r="16" spans="1:22" s="3079" customFormat="1" ht="13.2" customHeight="1">
      <c r="A16" s="3122" t="s">
        <v>2369</v>
      </c>
      <c r="B16" s="4023" t="s">
        <v>2370</v>
      </c>
      <c r="C16" s="4024"/>
      <c r="D16" s="3134">
        <f>D6*E16</f>
        <v>0</v>
      </c>
      <c r="E16" s="3135"/>
      <c r="F16" s="3120" t="s">
        <v>2371</v>
      </c>
      <c r="G16" s="3099"/>
      <c r="H16" s="3074"/>
      <c r="I16" s="3075"/>
      <c r="J16" s="4017"/>
      <c r="K16" s="4019"/>
      <c r="L16" s="3109" t="s">
        <v>2372</v>
      </c>
      <c r="M16" s="3110"/>
      <c r="N16" s="3110"/>
      <c r="O16" s="3111"/>
      <c r="P16" s="3112">
        <v>365</v>
      </c>
      <c r="Q16" s="3086"/>
      <c r="R16" s="3133">
        <f>ROUND(M16*N16*O16*P16/10000,0)</f>
        <v>0</v>
      </c>
      <c r="S16" s="3066"/>
      <c r="T16" s="3066"/>
      <c r="U16" s="3066"/>
      <c r="V16" s="3075"/>
    </row>
    <row r="17" spans="1:22" s="3079" customFormat="1" ht="13.2" customHeight="1" thickBot="1">
      <c r="A17" s="3136">
        <v>4</v>
      </c>
      <c r="B17" s="4025" t="s">
        <v>2373</v>
      </c>
      <c r="C17" s="4026"/>
      <c r="D17" s="3137">
        <f>ROUND(D6*E17,0)</f>
        <v>0</v>
      </c>
      <c r="E17" s="3138"/>
      <c r="F17" s="3139" t="s">
        <v>2374</v>
      </c>
      <c r="G17" s="3099"/>
      <c r="H17" s="3074"/>
      <c r="I17" s="3075"/>
      <c r="J17" s="4017"/>
      <c r="K17" s="4019"/>
      <c r="L17" s="3109" t="s">
        <v>2375</v>
      </c>
      <c r="M17" s="3110"/>
      <c r="N17" s="3110"/>
      <c r="O17" s="3111"/>
      <c r="P17" s="3112">
        <v>365</v>
      </c>
      <c r="Q17" s="3086"/>
      <c r="R17" s="3133">
        <f>ROUND(M17*N17*O17*P17/10000,0)</f>
        <v>0</v>
      </c>
      <c r="S17" s="3066"/>
      <c r="T17" s="3066"/>
      <c r="U17" s="3066"/>
      <c r="V17" s="3075"/>
    </row>
    <row r="18" spans="1:22" s="3079" customFormat="1" ht="13.2" customHeight="1" thickBot="1">
      <c r="A18" s="3102" t="s">
        <v>2376</v>
      </c>
      <c r="B18" s="3103"/>
      <c r="C18" s="3103"/>
      <c r="D18" s="3140">
        <f>ROUND(D6*E18,0)</f>
        <v>0</v>
      </c>
      <c r="E18" s="3141"/>
      <c r="F18" s="3142" t="s">
        <v>2377</v>
      </c>
      <c r="G18" s="3099"/>
      <c r="H18" s="3074"/>
      <c r="I18" s="3075"/>
      <c r="J18" s="4017"/>
      <c r="K18" s="4019"/>
      <c r="L18" s="3109" t="s">
        <v>2378</v>
      </c>
      <c r="M18" s="3110"/>
      <c r="N18" s="3110"/>
      <c r="O18" s="3111"/>
      <c r="P18" s="3112">
        <v>365</v>
      </c>
      <c r="Q18" s="3086"/>
      <c r="R18" s="3133">
        <f>ROUND(M18*N18*O18*P18/10000,0)</f>
        <v>0</v>
      </c>
      <c r="S18" s="3066"/>
      <c r="T18" s="3066"/>
      <c r="U18" s="3066"/>
      <c r="V18" s="3075"/>
    </row>
    <row r="19" spans="1:22" s="3079" customFormat="1" ht="13.2" customHeight="1" thickBot="1">
      <c r="A19" s="3143" t="s">
        <v>2379</v>
      </c>
      <c r="B19" s="3097"/>
      <c r="C19" s="3097"/>
      <c r="D19" s="3097"/>
      <c r="E19" s="3097"/>
      <c r="F19" s="3098"/>
      <c r="G19" s="3118"/>
      <c r="H19" s="3074"/>
      <c r="I19" s="3075"/>
      <c r="J19" s="4017"/>
      <c r="K19" s="4020"/>
      <c r="L19" s="3129" t="s">
        <v>2357</v>
      </c>
      <c r="M19" s="3130"/>
      <c r="N19" s="3130">
        <f>SUM(N16:N18)</f>
        <v>0</v>
      </c>
      <c r="O19" s="3131"/>
      <c r="P19" s="3144" t="s">
        <v>2445</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4017">
        <v>3</v>
      </c>
      <c r="K20" s="4018" t="s">
        <v>2380</v>
      </c>
      <c r="L20" s="3109" t="s">
        <v>2381</v>
      </c>
      <c r="M20" s="3110" t="s">
        <v>2382</v>
      </c>
      <c r="N20" s="3147" t="s">
        <v>2383</v>
      </c>
      <c r="O20" s="3111" t="s">
        <v>2384</v>
      </c>
      <c r="P20" s="3112" t="s">
        <v>2385</v>
      </c>
      <c r="Q20" s="3086" t="s">
        <v>2386</v>
      </c>
      <c r="R20" s="3133" t="s">
        <v>2328</v>
      </c>
      <c r="S20" s="3148"/>
      <c r="T20" s="3148"/>
      <c r="U20" s="3148"/>
      <c r="V20" s="3075"/>
    </row>
    <row r="21" spans="1:22" s="3079" customFormat="1" ht="13.2" customHeight="1">
      <c r="A21" s="3102"/>
      <c r="B21" s="3103"/>
      <c r="C21" s="3149" t="s">
        <v>2387</v>
      </c>
      <c r="D21" s="3150" t="s">
        <v>2388</v>
      </c>
      <c r="E21" s="3151" t="s">
        <v>2389</v>
      </c>
      <c r="F21" s="3146"/>
      <c r="G21" s="3118"/>
      <c r="H21" s="3074"/>
      <c r="I21" s="3075"/>
      <c r="J21" s="4017"/>
      <c r="K21" s="4019"/>
      <c r="L21" s="3109" t="s">
        <v>2390</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2391</v>
      </c>
      <c r="D22" s="3154" t="s">
        <v>2392</v>
      </c>
      <c r="E22" s="3155" t="s">
        <v>2393</v>
      </c>
      <c r="F22" s="3146"/>
      <c r="G22" s="3156"/>
      <c r="H22" s="3074"/>
      <c r="I22" s="3075"/>
      <c r="J22" s="4017"/>
      <c r="K22" s="4019"/>
      <c r="L22" s="3109" t="s">
        <v>2394</v>
      </c>
      <c r="M22" s="3110"/>
      <c r="N22" s="3110"/>
      <c r="O22" s="3111"/>
      <c r="P22" s="3112">
        <v>365</v>
      </c>
      <c r="Q22" s="3086"/>
      <c r="R22" s="3152">
        <f>ROUND(M22*N22*O22*P22/10000,0)</f>
        <v>0</v>
      </c>
      <c r="S22" s="3148"/>
      <c r="T22" s="3148"/>
      <c r="U22" s="3148"/>
      <c r="V22" s="3075"/>
    </row>
    <row r="23" spans="1:22" s="3079" customFormat="1" ht="13.2" customHeight="1">
      <c r="A23" s="3157">
        <v>1</v>
      </c>
      <c r="B23" s="3158" t="s">
        <v>2395</v>
      </c>
      <c r="C23" s="3159">
        <f>D6</f>
        <v>0</v>
      </c>
      <c r="D23" s="3160">
        <f>C23*(1+D24)</f>
        <v>0</v>
      </c>
      <c r="E23" s="3161">
        <f>D23*(1+E24)</f>
        <v>0</v>
      </c>
      <c r="F23" s="3162"/>
      <c r="G23" s="3163"/>
      <c r="H23" s="3074"/>
      <c r="I23" s="3075"/>
      <c r="J23" s="4017"/>
      <c r="K23" s="4019"/>
      <c r="L23" s="3109" t="s">
        <v>2396</v>
      </c>
      <c r="M23" s="3110"/>
      <c r="N23" s="3110"/>
      <c r="O23" s="3111"/>
      <c r="P23" s="3112">
        <v>365</v>
      </c>
      <c r="Q23" s="3086"/>
      <c r="R23" s="3152">
        <f>ROUND(M23*N23*O23*P23/10000,0)</f>
        <v>0</v>
      </c>
      <c r="S23" s="3066"/>
      <c r="T23" s="3066"/>
      <c r="U23" s="3066"/>
      <c r="V23" s="3075"/>
    </row>
    <row r="24" spans="1:22" s="3079" customFormat="1" ht="13.2" customHeight="1">
      <c r="A24" s="3164"/>
      <c r="B24" s="3165" t="s">
        <v>2397</v>
      </c>
      <c r="C24" s="3166"/>
      <c r="D24" s="3167"/>
      <c r="E24" s="3168"/>
      <c r="F24" s="3169"/>
      <c r="G24" s="3163"/>
      <c r="H24" s="3074"/>
      <c r="I24" s="3075"/>
      <c r="J24" s="4017"/>
      <c r="K24" s="4020"/>
      <c r="L24" s="3129" t="s">
        <v>2357</v>
      </c>
      <c r="M24" s="3130">
        <f>SUM(M21:M23)</f>
        <v>0</v>
      </c>
      <c r="N24" s="3130"/>
      <c r="O24" s="3131"/>
      <c r="P24" s="3144" t="s">
        <v>2445</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2398</v>
      </c>
      <c r="L25" s="3172"/>
      <c r="M25" s="3172"/>
      <c r="N25" s="3172"/>
      <c r="O25" s="3172"/>
      <c r="P25" s="3173"/>
      <c r="Q25" s="3174"/>
      <c r="R25" s="3145">
        <f>ROUND(R14*Q25,0)</f>
        <v>0</v>
      </c>
      <c r="S25" s="3066"/>
      <c r="T25" s="3066"/>
      <c r="U25" s="3066"/>
      <c r="V25" s="3175"/>
    </row>
    <row r="26" spans="1:22" s="3176" customFormat="1" ht="13.2" customHeight="1">
      <c r="A26" s="3157">
        <v>2</v>
      </c>
      <c r="B26" s="3158" t="s">
        <v>2399</v>
      </c>
      <c r="C26" s="3159">
        <f>D7</f>
        <v>0</v>
      </c>
      <c r="D26" s="3160">
        <f>D23*D27</f>
        <v>0</v>
      </c>
      <c r="E26" s="3161">
        <f>E23*E27</f>
        <v>0</v>
      </c>
      <c r="F26" s="3162"/>
      <c r="G26" s="3163"/>
      <c r="H26" s="3074"/>
      <c r="I26" s="3075"/>
      <c r="J26" s="4027">
        <v>5</v>
      </c>
      <c r="K26" s="3177" t="s">
        <v>2400</v>
      </c>
      <c r="L26" s="3178"/>
      <c r="M26" s="3179"/>
      <c r="N26" s="3180" t="s">
        <v>2401</v>
      </c>
      <c r="O26" s="3180" t="s">
        <v>2402</v>
      </c>
      <c r="P26" s="3181" t="s">
        <v>2403</v>
      </c>
      <c r="Q26" s="3181" t="s">
        <v>2404</v>
      </c>
      <c r="R26" s="3084" t="s">
        <v>2405</v>
      </c>
      <c r="S26" s="3182"/>
      <c r="T26" s="3182"/>
      <c r="U26" s="3182"/>
      <c r="V26" s="3175"/>
    </row>
    <row r="27" spans="1:22" s="3079" customFormat="1" ht="13.2" customHeight="1">
      <c r="A27" s="3164"/>
      <c r="B27" s="3165" t="s">
        <v>2406</v>
      </c>
      <c r="C27" s="3183" t="e">
        <f>E7</f>
        <v>#DIV/0!</v>
      </c>
      <c r="D27" s="3167"/>
      <c r="E27" s="3168"/>
      <c r="F27" s="3169"/>
      <c r="G27" s="3163"/>
      <c r="H27" s="3184"/>
      <c r="I27" s="3175"/>
      <c r="J27" s="4028"/>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2407</v>
      </c>
      <c r="F28" s="3169"/>
      <c r="G28" s="3156"/>
      <c r="H28" s="3184"/>
      <c r="I28" s="3175"/>
      <c r="J28" s="3190">
        <v>6</v>
      </c>
      <c r="K28" s="3191" t="s">
        <v>2408</v>
      </c>
      <c r="L28" s="3192" t="s">
        <v>2409</v>
      </c>
      <c r="M28" s="3193"/>
      <c r="N28" s="3192" t="s">
        <v>2410</v>
      </c>
      <c r="O28" s="3194"/>
      <c r="P28" s="3192" t="s">
        <v>2411</v>
      </c>
      <c r="Q28" s="3195">
        <v>1.4999999999999999E-2</v>
      </c>
      <c r="R28" s="3196"/>
      <c r="S28" s="3148"/>
      <c r="T28" s="3148"/>
      <c r="U28" s="3148"/>
      <c r="V28" s="3175"/>
    </row>
    <row r="29" spans="1:22" s="3176" customFormat="1" ht="13.2" customHeight="1">
      <c r="A29" s="3157">
        <v>3</v>
      </c>
      <c r="B29" s="3158" t="s">
        <v>2412</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2413</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2414</v>
      </c>
      <c r="K31" s="3064"/>
      <c r="L31" s="3064"/>
      <c r="M31" s="3064"/>
      <c r="N31" s="3064"/>
      <c r="O31" s="3064"/>
      <c r="P31" s="3064"/>
      <c r="Q31" s="3064"/>
      <c r="R31" s="3065"/>
      <c r="S31" s="3148"/>
      <c r="T31" s="3066"/>
      <c r="U31" s="3066"/>
      <c r="V31" s="3175"/>
    </row>
    <row r="32" spans="1:22" s="3176" customFormat="1" ht="13.2" customHeight="1">
      <c r="A32" s="3157">
        <v>4</v>
      </c>
      <c r="B32" s="3158" t="s">
        <v>2415</v>
      </c>
      <c r="C32" s="3159">
        <f>C23-C26-C29</f>
        <v>0</v>
      </c>
      <c r="D32" s="3160">
        <f>D23-D26-D29</f>
        <v>0</v>
      </c>
      <c r="E32" s="3161">
        <f>E23-E26-E29</f>
        <v>0</v>
      </c>
      <c r="F32" s="3162"/>
      <c r="G32" s="3156"/>
      <c r="H32" s="3074"/>
      <c r="I32" s="3075"/>
      <c r="J32" s="4010" t="s">
        <v>2416</v>
      </c>
      <c r="K32" s="4011"/>
      <c r="L32" s="3076" t="s">
        <v>2417</v>
      </c>
      <c r="M32" s="3076" t="s">
        <v>2306</v>
      </c>
      <c r="N32" s="3076" t="s">
        <v>2307</v>
      </c>
      <c r="O32" s="3076" t="s">
        <v>2308</v>
      </c>
      <c r="P32" s="3076" t="s">
        <v>2309</v>
      </c>
      <c r="Q32" s="3077" t="s">
        <v>2418</v>
      </c>
      <c r="R32" s="3199" t="s">
        <v>2419</v>
      </c>
      <c r="S32" s="3148"/>
      <c r="T32" s="3066"/>
      <c r="U32" s="3066"/>
      <c r="V32" s="3175"/>
    </row>
    <row r="33" spans="1:23" s="3079" customFormat="1" ht="13.2" customHeight="1">
      <c r="A33" s="3157"/>
      <c r="B33" s="3158"/>
      <c r="C33" s="3159"/>
      <c r="D33" s="3200"/>
      <c r="E33" s="3201"/>
      <c r="F33" s="3162"/>
      <c r="G33" s="3156"/>
      <c r="H33" s="3184"/>
      <c r="I33" s="3175"/>
      <c r="J33" s="4012" t="s">
        <v>2420</v>
      </c>
      <c r="K33" s="4013"/>
      <c r="L33" s="3082"/>
      <c r="M33" s="3082"/>
      <c r="N33" s="3082"/>
      <c r="O33" s="3082"/>
      <c r="P33" s="3082"/>
      <c r="Q33" s="3083"/>
      <c r="R33" s="3202">
        <f>SUM(L33:Q33)</f>
        <v>0</v>
      </c>
      <c r="S33" s="3148"/>
      <c r="T33" s="3066"/>
      <c r="U33" s="3066"/>
      <c r="V33" s="3075"/>
    </row>
    <row r="34" spans="1:23" s="3079" customFormat="1" ht="13.2" customHeight="1">
      <c r="A34" s="3157">
        <v>5</v>
      </c>
      <c r="B34" s="3158" t="s">
        <v>2421</v>
      </c>
      <c r="C34" s="3203"/>
      <c r="D34" s="3204"/>
      <c r="E34" s="3205"/>
      <c r="F34" s="3162"/>
      <c r="G34" s="3156"/>
      <c r="H34" s="3184"/>
      <c r="I34" s="3175"/>
      <c r="J34" s="4012" t="s">
        <v>2422</v>
      </c>
      <c r="K34" s="4013"/>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2423</v>
      </c>
      <c r="C35" s="3207"/>
      <c r="D35" s="3208"/>
      <c r="E35" s="3209"/>
      <c r="F35" s="3162"/>
      <c r="G35" s="3210"/>
      <c r="H35" s="3074"/>
      <c r="I35" s="3175"/>
      <c r="J35" s="3093" t="s">
        <v>2424</v>
      </c>
      <c r="K35" s="3094"/>
      <c r="L35" s="3094"/>
      <c r="M35" s="3095"/>
      <c r="N35" s="3095"/>
      <c r="O35" s="3095"/>
      <c r="P35" s="3095"/>
      <c r="Q35" s="3095"/>
      <c r="R35" s="3211">
        <f>R40+R41+R43</f>
        <v>0</v>
      </c>
      <c r="S35" s="3148"/>
      <c r="T35" s="3066" t="s">
        <v>2425</v>
      </c>
      <c r="U35" s="3066"/>
      <c r="V35" s="3075"/>
    </row>
    <row r="36" spans="1:23" s="3079" customFormat="1" ht="13.2" customHeight="1" thickBot="1">
      <c r="A36" s="3157">
        <v>7</v>
      </c>
      <c r="B36" s="3212" t="s">
        <v>2426</v>
      </c>
      <c r="C36" s="3213"/>
      <c r="D36" s="3214"/>
      <c r="E36" s="3215"/>
      <c r="F36" s="3216">
        <f>C36+D36+E36</f>
        <v>0</v>
      </c>
      <c r="G36" s="3156"/>
      <c r="H36" s="3074"/>
      <c r="I36" s="3075"/>
      <c r="J36" s="4017">
        <v>1</v>
      </c>
      <c r="K36" s="4018" t="s">
        <v>2427</v>
      </c>
      <c r="L36" s="3100"/>
      <c r="M36" s="3101"/>
      <c r="N36" s="3101"/>
      <c r="O36" s="3101"/>
      <c r="P36" s="3101"/>
      <c r="Q36" s="3101"/>
      <c r="R36" s="3084" t="s">
        <v>2328</v>
      </c>
      <c r="S36" s="3148"/>
      <c r="T36" s="3066" t="s">
        <v>2329</v>
      </c>
      <c r="U36" s="3066"/>
      <c r="V36" s="3075"/>
    </row>
    <row r="37" spans="1:23" s="3079" customFormat="1" ht="13.2" customHeight="1">
      <c r="A37" s="3157"/>
      <c r="B37" s="3158"/>
      <c r="C37" s="3158"/>
      <c r="D37" s="3158"/>
      <c r="E37" s="3158"/>
      <c r="F37" s="3162"/>
      <c r="G37" s="3156"/>
      <c r="H37" s="3074"/>
      <c r="I37" s="3075"/>
      <c r="J37" s="4017"/>
      <c r="K37" s="4019"/>
      <c r="L37" s="3109"/>
      <c r="M37" s="3110"/>
      <c r="N37" s="3086"/>
      <c r="O37" s="3111"/>
      <c r="P37" s="3111"/>
      <c r="Q37" s="3112"/>
      <c r="R37" s="3113"/>
      <c r="S37" s="3148"/>
      <c r="T37" s="3066" t="s">
        <v>2332</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4017"/>
      <c r="K38" s="4019"/>
      <c r="L38" s="3109"/>
      <c r="M38" s="3110"/>
      <c r="N38" s="3086"/>
      <c r="O38" s="3111"/>
      <c r="P38" s="3111"/>
      <c r="Q38" s="3112"/>
      <c r="R38" s="3113"/>
      <c r="S38" s="3148"/>
      <c r="T38" s="3066" t="s">
        <v>2339</v>
      </c>
      <c r="U38" s="3066"/>
      <c r="V38" s="3075"/>
    </row>
    <row r="39" spans="1:23" s="3079" customFormat="1" ht="13.2" customHeight="1">
      <c r="A39" s="3157">
        <v>9</v>
      </c>
      <c r="B39" s="3158" t="s">
        <v>2428</v>
      </c>
      <c r="C39" s="3123" t="e">
        <f>C38</f>
        <v>#DIV/0!</v>
      </c>
      <c r="D39" s="3158">
        <f>D38/(1+D34)^C36</f>
        <v>0</v>
      </c>
      <c r="E39" s="3158">
        <f>E38/(1+E34)^(C36+D36)</f>
        <v>0</v>
      </c>
      <c r="F39" s="3162"/>
      <c r="G39" s="3217"/>
      <c r="H39" s="3074"/>
      <c r="I39" s="3075"/>
      <c r="J39" s="4017"/>
      <c r="K39" s="4019"/>
      <c r="L39" s="3109"/>
      <c r="M39" s="3110"/>
      <c r="N39" s="3086"/>
      <c r="O39" s="3111"/>
      <c r="P39" s="3111"/>
      <c r="Q39" s="3112"/>
      <c r="R39" s="3113"/>
      <c r="S39" s="3148"/>
      <c r="T39" s="3066"/>
      <c r="U39" s="3066"/>
      <c r="V39" s="3075"/>
    </row>
    <row r="40" spans="1:23" s="3079" customFormat="1" ht="13.2" customHeight="1">
      <c r="A40" s="3218">
        <v>10</v>
      </c>
      <c r="B40" s="3158" t="s">
        <v>2429</v>
      </c>
      <c r="C40" s="3219" t="e">
        <f>C39+D39+E39</f>
        <v>#DIV/0!</v>
      </c>
      <c r="D40" s="3220"/>
      <c r="E40" s="3220"/>
      <c r="F40" s="3221"/>
      <c r="G40" s="3156"/>
      <c r="H40" s="3074"/>
      <c r="I40" s="3075"/>
      <c r="J40" s="4017"/>
      <c r="K40" s="4020"/>
      <c r="L40" s="3129" t="s">
        <v>2430</v>
      </c>
      <c r="M40" s="3130"/>
      <c r="N40" s="3130"/>
      <c r="O40" s="3131"/>
      <c r="P40" s="3131"/>
      <c r="Q40" s="3132"/>
      <c r="R40" s="3078">
        <f>SUM(R37:R39)</f>
        <v>0</v>
      </c>
      <c r="S40" s="3148"/>
      <c r="T40" s="3066"/>
      <c r="U40" s="3066"/>
      <c r="V40" s="3075"/>
    </row>
    <row r="41" spans="1:23" s="3079" customFormat="1" ht="13.2" customHeight="1" thickBot="1">
      <c r="A41" s="3222">
        <v>11</v>
      </c>
      <c r="B41" s="3223" t="s">
        <v>2431</v>
      </c>
      <c r="C41" s="3223" t="e">
        <f>ROUND(C40*10000/B4,0)</f>
        <v>#DIV/0!</v>
      </c>
      <c r="D41" s="3224"/>
      <c r="E41" s="3224"/>
      <c r="F41" s="3225"/>
      <c r="G41" s="3226"/>
      <c r="H41" s="3074"/>
      <c r="I41" s="3075"/>
      <c r="J41" s="3170">
        <v>2</v>
      </c>
      <c r="K41" s="3171" t="s">
        <v>2432</v>
      </c>
      <c r="L41" s="3172"/>
      <c r="M41" s="3172"/>
      <c r="N41" s="3172"/>
      <c r="O41" s="3172"/>
      <c r="P41" s="3173"/>
      <c r="Q41" s="3174"/>
      <c r="R41" s="3145">
        <f>ROUND(R40*Q41,0)</f>
        <v>0</v>
      </c>
      <c r="S41" s="3148"/>
      <c r="T41" s="3066"/>
      <c r="U41" s="3182"/>
      <c r="V41" s="3075"/>
    </row>
    <row r="42" spans="1:23" s="3079" customFormat="1" ht="13.2" customHeight="1">
      <c r="G42" s="3226"/>
      <c r="H42" s="3074"/>
      <c r="I42" s="3075"/>
      <c r="J42" s="4027">
        <v>3</v>
      </c>
      <c r="K42" s="3177" t="s">
        <v>2433</v>
      </c>
      <c r="L42" s="3178"/>
      <c r="M42" s="3179"/>
      <c r="N42" s="3180" t="s">
        <v>2434</v>
      </c>
      <c r="O42" s="3180" t="s">
        <v>2435</v>
      </c>
      <c r="P42" s="3181" t="s">
        <v>2436</v>
      </c>
      <c r="Q42" s="3181" t="s">
        <v>2437</v>
      </c>
      <c r="R42" s="3084" t="s">
        <v>2438</v>
      </c>
      <c r="S42" s="3182"/>
      <c r="T42" s="3182"/>
      <c r="U42" s="3066"/>
      <c r="V42" s="3075"/>
    </row>
    <row r="43" spans="1:23" ht="13.2" customHeight="1">
      <c r="A43" s="3079"/>
      <c r="B43" s="3079"/>
      <c r="C43" s="3079"/>
      <c r="D43" s="3079"/>
      <c r="E43" s="3079"/>
      <c r="F43" s="3079"/>
      <c r="I43" s="3061"/>
      <c r="J43" s="4028"/>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2439</v>
      </c>
      <c r="L44" s="3230" t="s">
        <v>2440</v>
      </c>
      <c r="M44" s="3193"/>
      <c r="N44" s="3230" t="s">
        <v>2441</v>
      </c>
      <c r="O44" s="3193"/>
      <c r="P44" s="3230" t="s">
        <v>2442</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t="e">
        <f ca="1">C23</f>
        <v>#DIV/0!</v>
      </c>
      <c r="C2" s="3008"/>
      <c r="D2" s="3008"/>
      <c r="E2" s="3008"/>
      <c r="F2" s="3008"/>
      <c r="G2" s="3008"/>
    </row>
    <row r="3" spans="1:25" s="1782" customFormat="1" ht="18" customHeight="1">
      <c r="A3" s="1236" t="s">
        <v>1218</v>
      </c>
      <c r="B3" s="412" t="e">
        <f ca="1">ROUND(B2*10000/'数据-汇总表'!E3,0)</f>
        <v>#DIV/0!</v>
      </c>
      <c r="C3" s="3008"/>
      <c r="D3" s="3008"/>
      <c r="E3" s="3008"/>
      <c r="F3" s="3008"/>
      <c r="G3" s="3008"/>
    </row>
    <row r="4" spans="1:25" s="1782" customFormat="1" ht="18" customHeight="1">
      <c r="A4" s="413" t="s">
        <v>428</v>
      </c>
      <c r="B4" s="414" t="e">
        <f ca="1">ROUND(B2*10000/'数据-汇总表'!D3,0)</f>
        <v>#DIV/0!</v>
      </c>
      <c r="C4" s="2962"/>
      <c r="D4" s="3008"/>
      <c r="E4" s="3008"/>
      <c r="F4" s="3008"/>
      <c r="G4" s="3008"/>
    </row>
    <row r="5" spans="1:25" s="1782" customFormat="1" ht="18" customHeight="1" thickBot="1">
      <c r="A5" s="416"/>
      <c r="B5" s="417" t="e">
        <f ca="1">ROUND(B2/('数据-汇总表'!D3/666.67),0)</f>
        <v>#DIV/0!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t="e">
        <f>C8+C9</f>
        <v>#DIV/0!</v>
      </c>
      <c r="D7" s="716"/>
      <c r="E7" s="717"/>
      <c r="F7" s="717"/>
      <c r="G7" s="2127" t="s">
        <v>3349</v>
      </c>
    </row>
    <row r="8" spans="1:25" s="1904" customFormat="1" ht="13.5" customHeight="1">
      <c r="A8" s="2118" t="s">
        <v>1786</v>
      </c>
      <c r="B8" s="2121" t="s">
        <v>1788</v>
      </c>
      <c r="C8" s="3011" t="e">
        <f>ROUND(D8*E8/10000,0)</f>
        <v>#DIV/0!</v>
      </c>
      <c r="D8" s="3011">
        <f>'数据-基础表'!A3</f>
        <v>76200</v>
      </c>
      <c r="E8" s="3012" t="e">
        <f>'比较法-工业 (2)'!C44</f>
        <v>#DIV/0!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1409.7</v>
      </c>
      <c r="D10" s="726"/>
      <c r="E10" s="716"/>
      <c r="F10" s="727"/>
      <c r="G10" s="725" t="s">
        <v>562</v>
      </c>
    </row>
    <row r="11" spans="1:25" s="1904" customFormat="1" ht="13.5" customHeight="1">
      <c r="A11" s="2118" t="s">
        <v>1786</v>
      </c>
      <c r="B11" s="719" t="s">
        <v>558</v>
      </c>
      <c r="C11" s="720">
        <f>'数据-取费表'!B29</f>
        <v>1409.7</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0</v>
      </c>
      <c r="F12" s="722"/>
      <c r="G12" s="725"/>
    </row>
    <row r="13" spans="1:25" s="1904" customFormat="1" ht="13.5" customHeight="1">
      <c r="A13" s="2124" t="s">
        <v>1793</v>
      </c>
      <c r="B13" s="723" t="s">
        <v>560</v>
      </c>
      <c r="C13" s="724">
        <f>ROUND(D13*E13/10000,0)</f>
        <v>1410</v>
      </c>
      <c r="D13" s="3011">
        <f>'数据-汇总表'!E6</f>
        <v>76200</v>
      </c>
      <c r="E13" s="3011">
        <v>185</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t="e">
        <f ca="1">ROUND(IF('数据-取费表'!B19&lt;=1,((C7+C16)*'数据-取费表'!B19+C10*'数据-取费表'!B19/2)*F17,((C7+C16)*(POWER((1+F17),'数据-取费表'!B19)-1)+C10*(POWER((1+F17),'数据-取费表'!B19/2)-1))),0)</f>
        <v>#DIV/0!</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t="e">
        <f>ROUND((C7+C10+C16)*F18,0)</f>
        <v>#DIV/0!</v>
      </c>
      <c r="D18" s="728"/>
      <c r="E18" s="729"/>
      <c r="F18" s="3723">
        <v>0.1</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t="e">
        <f ca="1">C7+C10+C16+C17+C18</f>
        <v>#DIV/0!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t="e">
        <f ca="1">ROUND(C19*F20,0)</f>
        <v>#DIV/0!</v>
      </c>
      <c r="D20" s="726"/>
      <c r="E20" s="716"/>
      <c r="F20" s="1208">
        <v>0.14000000000000001</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t="e">
        <f ca="1">C19+C20</f>
        <v>#DIV/0!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t="e">
        <f ca="1">ROUND(C21*F22,0)</f>
        <v>#DIV/0!</v>
      </c>
      <c r="D22" s="726"/>
      <c r="E22" s="716"/>
      <c r="F22" s="732">
        <v>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t="e">
        <f ca="1">C22</f>
        <v>#DIV/0!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受贵公司委托，我公司对北京市出让国有建设用地使用权市场价格进行了预评估。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76200平方米。根据《建设工程规划许可证》[]、《出让合同》[]，估价对象规划建筑面积为76200平方米。</v>
      </c>
    </row>
    <row r="7" spans="1:4" ht="87">
      <c r="A7" s="2352" t="s">
        <v>2030</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87">
      <c r="A25" s="1578" t="str">
        <f>定义!C53</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row>
    <row r="26" spans="1:1" ht="87">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69.599999999999994">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908" t="s">
        <v>471</v>
      </c>
      <c r="D4" s="3909"/>
      <c r="E4" s="3944" t="s">
        <v>472</v>
      </c>
      <c r="F4" s="3945"/>
      <c r="G4" s="3908" t="s">
        <v>473</v>
      </c>
      <c r="H4" s="3909"/>
      <c r="I4" s="3908" t="s">
        <v>474</v>
      </c>
      <c r="J4" s="3909"/>
      <c r="K4" s="818"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5" t="s">
        <v>473</v>
      </c>
      <c r="AC4" s="3905" t="s">
        <v>474</v>
      </c>
    </row>
    <row r="5" spans="1:29">
      <c r="A5" s="485"/>
      <c r="B5" s="486"/>
      <c r="C5" s="3924" t="s">
        <v>2192</v>
      </c>
      <c r="D5" s="3925"/>
      <c r="E5" s="3946" t="s">
        <v>2193</v>
      </c>
      <c r="F5" s="3947"/>
      <c r="G5" s="3924" t="s">
        <v>2194</v>
      </c>
      <c r="H5" s="3925"/>
      <c r="I5" s="3924" t="s">
        <v>2195</v>
      </c>
      <c r="J5" s="3925"/>
      <c r="K5" s="819"/>
      <c r="L5" s="1855"/>
      <c r="M5" s="1856"/>
      <c r="N5" s="1856"/>
      <c r="O5" s="1856"/>
      <c r="P5" s="3912"/>
      <c r="Q5" s="3913"/>
      <c r="R5" s="3918"/>
      <c r="S5" s="3919"/>
      <c r="T5" s="3918"/>
      <c r="U5" s="3919"/>
      <c r="V5" s="3903"/>
      <c r="W5" s="3903"/>
      <c r="X5" s="1379"/>
      <c r="Y5" s="3918"/>
      <c r="Z5" s="3919"/>
      <c r="AA5" s="3906"/>
      <c r="AB5" s="3906"/>
      <c r="AC5" s="3906"/>
    </row>
    <row r="6" spans="1:29" ht="15" thickBot="1">
      <c r="A6" s="487"/>
      <c r="B6" s="488"/>
      <c r="C6" s="3922" t="s">
        <v>2196</v>
      </c>
      <c r="D6" s="3923"/>
      <c r="E6" s="3942" t="s">
        <v>2196</v>
      </c>
      <c r="F6" s="3943"/>
      <c r="G6" s="3922" t="s">
        <v>2196</v>
      </c>
      <c r="H6" s="3923"/>
      <c r="I6" s="3922" t="s">
        <v>2196</v>
      </c>
      <c r="J6" s="3923"/>
      <c r="K6" s="819" t="s">
        <v>477</v>
      </c>
      <c r="L6" s="1855"/>
      <c r="M6" s="1856"/>
      <c r="N6" s="1856"/>
      <c r="O6" s="1856"/>
      <c r="P6" s="3914"/>
      <c r="Q6" s="3915"/>
      <c r="R6" s="3918"/>
      <c r="S6" s="3919"/>
      <c r="T6" s="3920"/>
      <c r="U6" s="3921"/>
      <c r="V6" s="3903"/>
      <c r="W6" s="3903"/>
      <c r="X6" s="1379"/>
      <c r="Y6" s="3920"/>
      <c r="Z6" s="3921"/>
      <c r="AA6" s="3907"/>
      <c r="AB6" s="3907"/>
      <c r="AC6" s="3907"/>
    </row>
    <row r="7" spans="1:29" s="1117" customFormat="1" ht="15" thickBot="1">
      <c r="A7" s="2391"/>
      <c r="B7" s="2398" t="s">
        <v>478</v>
      </c>
      <c r="C7" s="489">
        <f>'数据-取费表'!B2</f>
        <v>45597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32" t="s">
        <v>479</v>
      </c>
      <c r="Q7" s="3934"/>
      <c r="R7" s="1380" t="s">
        <v>10</v>
      </c>
      <c r="S7" s="1381">
        <f t="shared" ref="S7:S15" si="0">F7</f>
        <v>0</v>
      </c>
      <c r="T7" s="1380" t="s">
        <v>10</v>
      </c>
      <c r="U7" s="1381">
        <f t="shared" ref="U7:U15" si="1">H7</f>
        <v>0</v>
      </c>
      <c r="V7" s="1380" t="s">
        <v>10</v>
      </c>
      <c r="W7" s="1381">
        <f t="shared" ref="W7:W15"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32" t="s">
        <v>482</v>
      </c>
      <c r="Q8" s="3933"/>
      <c r="R8" s="1380" t="s">
        <v>10</v>
      </c>
      <c r="S8" s="1381">
        <f t="shared" si="0"/>
        <v>0</v>
      </c>
      <c r="T8" s="1380" t="s">
        <v>10</v>
      </c>
      <c r="U8" s="1381">
        <f t="shared" si="1"/>
        <v>0</v>
      </c>
      <c r="V8" s="1380" t="s">
        <v>10</v>
      </c>
      <c r="W8" s="1381">
        <f t="shared" si="2"/>
        <v>0</v>
      </c>
      <c r="X8" s="1382"/>
      <c r="Y8" s="3932" t="s">
        <v>482</v>
      </c>
      <c r="Z8" s="3933"/>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46"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2"/>
      <c r="Q11" s="1049" t="str">
        <f t="shared" si="6"/>
        <v>容积率</v>
      </c>
      <c r="R11" s="1380" t="s">
        <v>8</v>
      </c>
      <c r="S11" s="1381" t="e">
        <f t="shared" si="0"/>
        <v>#N/A</v>
      </c>
      <c r="T11" s="1380" t="s">
        <v>8</v>
      </c>
      <c r="U11" s="1381" t="e">
        <f t="shared" si="1"/>
        <v>#N/A</v>
      </c>
      <c r="V11" s="1380" t="s">
        <v>8</v>
      </c>
      <c r="W11" s="1381" t="e">
        <f t="shared" si="2"/>
        <v>#N/A</v>
      </c>
      <c r="X11" s="1382"/>
      <c r="Y11" s="384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2"/>
      <c r="Q12" s="1049">
        <f t="shared" si="6"/>
        <v>111</v>
      </c>
      <c r="R12" s="1380" t="s">
        <v>8</v>
      </c>
      <c r="S12" s="1381">
        <f t="shared" si="0"/>
        <v>100</v>
      </c>
      <c r="T12" s="1380" t="s">
        <v>8</v>
      </c>
      <c r="U12" s="1381">
        <f t="shared" si="1"/>
        <v>100</v>
      </c>
      <c r="V12" s="1380" t="s">
        <v>8</v>
      </c>
      <c r="W12" s="1381">
        <f t="shared" si="2"/>
        <v>100</v>
      </c>
      <c r="X12" s="1382"/>
      <c r="Y12" s="3846"/>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2"/>
      <c r="Q13" s="1049">
        <f t="shared" si="6"/>
        <v>111</v>
      </c>
      <c r="R13" s="1380" t="s">
        <v>8</v>
      </c>
      <c r="S13" s="1381">
        <f t="shared" si="0"/>
        <v>100</v>
      </c>
      <c r="T13" s="1380" t="s">
        <v>8</v>
      </c>
      <c r="U13" s="1381">
        <f t="shared" si="1"/>
        <v>100</v>
      </c>
      <c r="V13" s="1380" t="s">
        <v>8</v>
      </c>
      <c r="W13" s="1381">
        <f t="shared" si="2"/>
        <v>100</v>
      </c>
      <c r="X13" s="1382"/>
      <c r="Y13" s="3846"/>
      <c r="Z13" s="1048">
        <f t="shared" si="7"/>
        <v>111</v>
      </c>
      <c r="AA13" s="1383">
        <f t="shared" si="3"/>
        <v>1</v>
      </c>
      <c r="AB13" s="1383">
        <f t="shared" si="4"/>
        <v>1</v>
      </c>
      <c r="AC13" s="1383">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2"/>
      <c r="Q14" s="1049">
        <f t="shared" si="6"/>
        <v>111</v>
      </c>
      <c r="R14" s="1380" t="s">
        <v>8</v>
      </c>
      <c r="S14" s="1381">
        <f t="shared" si="0"/>
        <v>100</v>
      </c>
      <c r="T14" s="1380" t="s">
        <v>8</v>
      </c>
      <c r="U14" s="1381">
        <f t="shared" si="1"/>
        <v>100</v>
      </c>
      <c r="V14" s="1380" t="s">
        <v>8</v>
      </c>
      <c r="W14" s="1381">
        <f t="shared" si="2"/>
        <v>100</v>
      </c>
      <c r="X14" s="1382"/>
      <c r="Y14" s="3846"/>
      <c r="Z14" s="1048">
        <f t="shared" si="7"/>
        <v>111</v>
      </c>
      <c r="AA14" s="1383">
        <f t="shared" si="3"/>
        <v>1</v>
      </c>
      <c r="AB14" s="1383">
        <f t="shared" si="4"/>
        <v>1</v>
      </c>
      <c r="AC14" s="1383">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35" t="s">
        <v>489</v>
      </c>
      <c r="Q15" s="1384" t="str">
        <f t="shared" si="6"/>
        <v>居住社区成熟度</v>
      </c>
      <c r="R15" s="1385" t="s">
        <v>8</v>
      </c>
      <c r="S15" s="1386">
        <f t="shared" si="0"/>
        <v>100</v>
      </c>
      <c r="T15" s="1385" t="s">
        <v>8</v>
      </c>
      <c r="U15" s="1386">
        <f t="shared" si="1"/>
        <v>100</v>
      </c>
      <c r="V15" s="1385" t="s">
        <v>8</v>
      </c>
      <c r="W15" s="1386">
        <f t="shared" si="2"/>
        <v>100</v>
      </c>
      <c r="X15" s="1379"/>
      <c r="Y15" s="3935"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36"/>
      <c r="Q16" s="1384"/>
      <c r="R16" s="1385"/>
      <c r="S16" s="1386"/>
      <c r="T16" s="1385"/>
      <c r="U16" s="1386"/>
      <c r="V16" s="1385"/>
      <c r="W16" s="1386"/>
      <c r="X16" s="1379"/>
      <c r="Y16" s="3936"/>
      <c r="Z16" s="1387"/>
      <c r="AA16" s="1388">
        <v>1</v>
      </c>
      <c r="AB16" s="1388">
        <v>1</v>
      </c>
      <c r="AC16" s="1388">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36"/>
      <c r="Q17" s="1384" t="str">
        <f>B17</f>
        <v>交通便捷度</v>
      </c>
      <c r="R17" s="1385" t="s">
        <v>8</v>
      </c>
      <c r="S17" s="1386">
        <f>F17</f>
        <v>100</v>
      </c>
      <c r="T17" s="1385" t="s">
        <v>8</v>
      </c>
      <c r="U17" s="1386">
        <f>H17</f>
        <v>100</v>
      </c>
      <c r="V17" s="1385" t="s">
        <v>8</v>
      </c>
      <c r="W17" s="1386">
        <f>J17</f>
        <v>100</v>
      </c>
      <c r="X17" s="1379"/>
      <c r="Y17" s="393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36"/>
      <c r="Q18" s="1384"/>
      <c r="R18" s="1385"/>
      <c r="S18" s="1386"/>
      <c r="T18" s="1385"/>
      <c r="U18" s="1386"/>
      <c r="V18" s="1385"/>
      <c r="W18" s="1386"/>
      <c r="X18" s="1379"/>
      <c r="Y18" s="3936"/>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36"/>
      <c r="Q19" s="1384" t="str">
        <f>B19</f>
        <v>公共配套设施</v>
      </c>
      <c r="R19" s="1385" t="s">
        <v>8</v>
      </c>
      <c r="S19" s="1386">
        <f>F19</f>
        <v>100</v>
      </c>
      <c r="T19" s="1385" t="s">
        <v>8</v>
      </c>
      <c r="U19" s="1386">
        <f>H19</f>
        <v>100</v>
      </c>
      <c r="V19" s="1385" t="s">
        <v>8</v>
      </c>
      <c r="W19" s="1386">
        <f>J19</f>
        <v>100</v>
      </c>
      <c r="X19" s="1379"/>
      <c r="Y19" s="393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36"/>
      <c r="Q20" s="1384"/>
      <c r="R20" s="1385"/>
      <c r="S20" s="1386"/>
      <c r="T20" s="1385"/>
      <c r="U20" s="1386"/>
      <c r="V20" s="1385"/>
      <c r="W20" s="1386"/>
      <c r="X20" s="1379"/>
      <c r="Y20" s="3936"/>
      <c r="Z20" s="1387"/>
      <c r="AA20" s="1388">
        <v>1</v>
      </c>
      <c r="AB20" s="1388">
        <v>1</v>
      </c>
      <c r="AC20" s="1388">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36"/>
      <c r="Q21" s="2192" t="str">
        <f>B21</f>
        <v>基础设施水平</v>
      </c>
      <c r="R21" s="1385" t="s">
        <v>8</v>
      </c>
      <c r="S21" s="1386">
        <f>F21</f>
        <v>100</v>
      </c>
      <c r="T21" s="1385" t="s">
        <v>8</v>
      </c>
      <c r="U21" s="1386">
        <f>H21</f>
        <v>100</v>
      </c>
      <c r="V21" s="1385" t="s">
        <v>8</v>
      </c>
      <c r="W21" s="1386">
        <f>J21</f>
        <v>100</v>
      </c>
      <c r="X21" s="2194"/>
      <c r="Y21" s="3936"/>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36"/>
      <c r="Q22" s="2192"/>
      <c r="R22" s="1385"/>
      <c r="S22" s="1386"/>
      <c r="T22" s="1385"/>
      <c r="U22" s="1386"/>
      <c r="V22" s="1385"/>
      <c r="W22" s="1386"/>
      <c r="X22" s="2194"/>
      <c r="Y22" s="3936"/>
      <c r="Z22" s="2193"/>
      <c r="AA22" s="1388">
        <v>1</v>
      </c>
      <c r="AB22" s="1388">
        <v>1</v>
      </c>
      <c r="AC22" s="1388">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36"/>
      <c r="Q23" s="1384" t="str">
        <f>B23</f>
        <v>自然及人文环境</v>
      </c>
      <c r="R23" s="1385" t="s">
        <v>8</v>
      </c>
      <c r="S23" s="1386">
        <f>F23</f>
        <v>100</v>
      </c>
      <c r="T23" s="1385" t="s">
        <v>8</v>
      </c>
      <c r="U23" s="1386">
        <f>H23</f>
        <v>100</v>
      </c>
      <c r="V23" s="1385" t="s">
        <v>8</v>
      </c>
      <c r="W23" s="1386">
        <f>J23</f>
        <v>100</v>
      </c>
      <c r="X23" s="1379"/>
      <c r="Y23" s="393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36"/>
      <c r="Q25" s="1384" t="str">
        <f t="shared" ref="Q25:Q46" si="8">B25</f>
        <v>楼层-1</v>
      </c>
      <c r="R25" s="1385" t="s">
        <v>8</v>
      </c>
      <c r="S25" s="1386">
        <f>F25</f>
        <v>100</v>
      </c>
      <c r="T25" s="1385" t="s">
        <v>8</v>
      </c>
      <c r="U25" s="1386">
        <f>H25</f>
        <v>100</v>
      </c>
      <c r="V25" s="1385" t="s">
        <v>8</v>
      </c>
      <c r="W25" s="1386">
        <f>J25</f>
        <v>100</v>
      </c>
      <c r="X25" s="1379"/>
      <c r="Y25" s="3936"/>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36"/>
      <c r="Q26" s="1384" t="str">
        <f t="shared" si="8"/>
        <v>朝向</v>
      </c>
      <c r="R26" s="1385" t="s">
        <v>8</v>
      </c>
      <c r="S26" s="1386">
        <f>F26</f>
        <v>100</v>
      </c>
      <c r="T26" s="1385" t="s">
        <v>8</v>
      </c>
      <c r="U26" s="1386">
        <f>H26</f>
        <v>100</v>
      </c>
      <c r="V26" s="1385" t="s">
        <v>8</v>
      </c>
      <c r="W26" s="1386">
        <f>J26</f>
        <v>100</v>
      </c>
      <c r="X26" s="1379"/>
      <c r="Y26" s="3936"/>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36"/>
      <c r="Q27" s="1049" t="str">
        <f t="shared" si="8"/>
        <v>道路级别</v>
      </c>
      <c r="R27" s="1380" t="s">
        <v>8</v>
      </c>
      <c r="S27" s="1381">
        <f>F27</f>
        <v>100</v>
      </c>
      <c r="T27" s="1380" t="s">
        <v>8</v>
      </c>
      <c r="U27" s="1381">
        <f>H27</f>
        <v>100</v>
      </c>
      <c r="V27" s="1380" t="s">
        <v>8</v>
      </c>
      <c r="W27" s="1381">
        <f>J27</f>
        <v>100</v>
      </c>
      <c r="X27" s="1382"/>
      <c r="Y27" s="3936"/>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36"/>
      <c r="Q28" s="1384">
        <f t="shared" si="8"/>
        <v>111</v>
      </c>
      <c r="R28" s="1385" t="s">
        <v>8</v>
      </c>
      <c r="S28" s="1386">
        <f t="shared" ref="S28:S46" si="9">F28</f>
        <v>100</v>
      </c>
      <c r="T28" s="1385" t="s">
        <v>8</v>
      </c>
      <c r="U28" s="1386">
        <f t="shared" ref="U28:U46" si="10">H28</f>
        <v>100</v>
      </c>
      <c r="V28" s="1385" t="s">
        <v>8</v>
      </c>
      <c r="W28" s="1386">
        <f t="shared" ref="W28:W46" si="11">J28</f>
        <v>100</v>
      </c>
      <c r="X28" s="1379"/>
      <c r="Y28" s="3936"/>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36"/>
      <c r="Q29" s="1384">
        <f t="shared" si="8"/>
        <v>111</v>
      </c>
      <c r="R29" s="1385" t="s">
        <v>8</v>
      </c>
      <c r="S29" s="1386">
        <f t="shared" si="9"/>
        <v>100</v>
      </c>
      <c r="T29" s="1385" t="s">
        <v>8</v>
      </c>
      <c r="U29" s="1386">
        <f t="shared" si="10"/>
        <v>100</v>
      </c>
      <c r="V29" s="1385" t="s">
        <v>8</v>
      </c>
      <c r="W29" s="1386">
        <f t="shared" si="11"/>
        <v>100</v>
      </c>
      <c r="X29" s="1379"/>
      <c r="Y29" s="393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36"/>
      <c r="Q30" s="1384">
        <f t="shared" si="8"/>
        <v>111</v>
      </c>
      <c r="R30" s="1385" t="s">
        <v>8</v>
      </c>
      <c r="S30" s="1386">
        <f t="shared" si="9"/>
        <v>100</v>
      </c>
      <c r="T30" s="1385" t="s">
        <v>8</v>
      </c>
      <c r="U30" s="1386">
        <f t="shared" si="10"/>
        <v>100</v>
      </c>
      <c r="V30" s="1385" t="s">
        <v>8</v>
      </c>
      <c r="W30" s="1386">
        <f t="shared" si="11"/>
        <v>100</v>
      </c>
      <c r="X30" s="1379"/>
      <c r="Y30" s="3936"/>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36"/>
      <c r="Q31" s="1384">
        <f t="shared" si="8"/>
        <v>111</v>
      </c>
      <c r="R31" s="1385" t="s">
        <v>8</v>
      </c>
      <c r="S31" s="1386">
        <f t="shared" si="9"/>
        <v>100</v>
      </c>
      <c r="T31" s="1385" t="s">
        <v>8</v>
      </c>
      <c r="U31" s="1386">
        <f t="shared" si="10"/>
        <v>100</v>
      </c>
      <c r="V31" s="1385" t="s">
        <v>8</v>
      </c>
      <c r="W31" s="1386">
        <f t="shared" si="11"/>
        <v>100</v>
      </c>
      <c r="X31" s="1379"/>
      <c r="Y31" s="3936"/>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37" t="s">
        <v>499</v>
      </c>
      <c r="Q32" s="1384" t="str">
        <f t="shared" si="8"/>
        <v>建筑类型</v>
      </c>
      <c r="R32" s="1385" t="s">
        <v>8</v>
      </c>
      <c r="S32" s="1386">
        <f t="shared" si="9"/>
        <v>100</v>
      </c>
      <c r="T32" s="1385" t="s">
        <v>8</v>
      </c>
      <c r="U32" s="1386">
        <f t="shared" si="10"/>
        <v>100</v>
      </c>
      <c r="V32" s="1385" t="s">
        <v>8</v>
      </c>
      <c r="W32" s="1386">
        <f t="shared" si="11"/>
        <v>100</v>
      </c>
      <c r="X32" s="1379"/>
      <c r="Y32" s="3938"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8"/>
      <c r="Q33" s="1413" t="str">
        <f t="shared" si="8"/>
        <v>项目建筑规模</v>
      </c>
      <c r="R33" s="1389" t="s">
        <v>8</v>
      </c>
      <c r="S33" s="1390" t="e">
        <f t="shared" si="9"/>
        <v>#N/A</v>
      </c>
      <c r="T33" s="1389" t="s">
        <v>8</v>
      </c>
      <c r="U33" s="1390" t="e">
        <f t="shared" si="10"/>
        <v>#N/A</v>
      </c>
      <c r="V33" s="1389" t="s">
        <v>8</v>
      </c>
      <c r="W33" s="1390" t="e">
        <f t="shared" si="11"/>
        <v>#N/A</v>
      </c>
      <c r="X33" s="1391"/>
      <c r="Y33" s="3938"/>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8"/>
      <c r="Q34" s="1384" t="str">
        <f t="shared" si="8"/>
        <v>建筑结构</v>
      </c>
      <c r="R34" s="1385" t="s">
        <v>8</v>
      </c>
      <c r="S34" s="1386">
        <f t="shared" si="9"/>
        <v>100</v>
      </c>
      <c r="T34" s="1385" t="s">
        <v>8</v>
      </c>
      <c r="U34" s="1386">
        <f t="shared" si="10"/>
        <v>100</v>
      </c>
      <c r="V34" s="1385" t="s">
        <v>8</v>
      </c>
      <c r="W34" s="1386">
        <f t="shared" si="11"/>
        <v>100</v>
      </c>
      <c r="X34" s="1379"/>
      <c r="Y34" s="3938"/>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8"/>
      <c r="Q35" s="1384" t="str">
        <f t="shared" si="8"/>
        <v>建筑品质</v>
      </c>
      <c r="R35" s="1385" t="s">
        <v>8</v>
      </c>
      <c r="S35" s="1386">
        <f t="shared" si="9"/>
        <v>100</v>
      </c>
      <c r="T35" s="1385" t="s">
        <v>8</v>
      </c>
      <c r="U35" s="1386">
        <f t="shared" si="10"/>
        <v>100</v>
      </c>
      <c r="V35" s="1385" t="s">
        <v>8</v>
      </c>
      <c r="W35" s="1386">
        <f t="shared" si="11"/>
        <v>100</v>
      </c>
      <c r="X35" s="1379"/>
      <c r="Y35" s="3938"/>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8"/>
      <c r="Q36" s="1384" t="str">
        <f t="shared" si="8"/>
        <v>公共部分装修</v>
      </c>
      <c r="R36" s="1385" t="s">
        <v>8</v>
      </c>
      <c r="S36" s="1386">
        <f t="shared" si="9"/>
        <v>100</v>
      </c>
      <c r="T36" s="1385" t="s">
        <v>8</v>
      </c>
      <c r="U36" s="1386">
        <f t="shared" si="10"/>
        <v>100</v>
      </c>
      <c r="V36" s="1385" t="s">
        <v>8</v>
      </c>
      <c r="W36" s="1386">
        <f t="shared" si="11"/>
        <v>100</v>
      </c>
      <c r="X36" s="1379"/>
      <c r="Y36" s="3938"/>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8"/>
      <c r="Q37" s="1049" t="str">
        <f t="shared" si="8"/>
        <v>成新度</v>
      </c>
      <c r="R37" s="1380" t="s">
        <v>8</v>
      </c>
      <c r="S37" s="1381" t="e">
        <f t="shared" si="9"/>
        <v>#N/A</v>
      </c>
      <c r="T37" s="1380" t="s">
        <v>8</v>
      </c>
      <c r="U37" s="1381" t="e">
        <f t="shared" si="10"/>
        <v>#N/A</v>
      </c>
      <c r="V37" s="1380" t="s">
        <v>8</v>
      </c>
      <c r="W37" s="1381" t="e">
        <f t="shared" si="11"/>
        <v>#N/A</v>
      </c>
      <c r="X37" s="1382"/>
      <c r="Y37" s="3938"/>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8" t="s">
        <v>499</v>
      </c>
      <c r="Q38" s="1384" t="str">
        <f t="shared" si="8"/>
        <v>物业管理</v>
      </c>
      <c r="R38" s="1385" t="s">
        <v>8</v>
      </c>
      <c r="S38" s="1386">
        <f t="shared" si="9"/>
        <v>100</v>
      </c>
      <c r="T38" s="1385" t="s">
        <v>8</v>
      </c>
      <c r="U38" s="1386">
        <f t="shared" si="10"/>
        <v>100</v>
      </c>
      <c r="V38" s="1385" t="s">
        <v>8</v>
      </c>
      <c r="W38" s="1386">
        <f t="shared" si="11"/>
        <v>100</v>
      </c>
      <c r="X38" s="1379"/>
      <c r="Y38" s="3938"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8"/>
      <c r="Q39" s="1384" t="str">
        <f t="shared" si="8"/>
        <v>市政基础设施</v>
      </c>
      <c r="R39" s="1385" t="s">
        <v>8</v>
      </c>
      <c r="S39" s="1386">
        <f t="shared" si="9"/>
        <v>100</v>
      </c>
      <c r="T39" s="1385" t="s">
        <v>8</v>
      </c>
      <c r="U39" s="1386">
        <f t="shared" si="10"/>
        <v>100</v>
      </c>
      <c r="V39" s="1385" t="s">
        <v>8</v>
      </c>
      <c r="W39" s="1386">
        <f t="shared" si="11"/>
        <v>100</v>
      </c>
      <c r="X39" s="1379"/>
      <c r="Y39" s="3938"/>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8"/>
      <c r="Q40" s="1384" t="str">
        <f t="shared" si="8"/>
        <v>房型</v>
      </c>
      <c r="R40" s="1385" t="s">
        <v>8</v>
      </c>
      <c r="S40" s="1386">
        <f t="shared" si="9"/>
        <v>100</v>
      </c>
      <c r="T40" s="1385" t="s">
        <v>8</v>
      </c>
      <c r="U40" s="1386">
        <f t="shared" si="10"/>
        <v>100</v>
      </c>
      <c r="V40" s="1385" t="s">
        <v>8</v>
      </c>
      <c r="W40" s="1386">
        <f t="shared" si="11"/>
        <v>100</v>
      </c>
      <c r="X40" s="1379"/>
      <c r="Y40" s="3938"/>
      <c r="Z40" s="1387" t="str">
        <f t="shared" si="12"/>
        <v>房型</v>
      </c>
      <c r="AA40" s="1388">
        <f t="shared" si="3"/>
        <v>1</v>
      </c>
      <c r="AB40" s="1388">
        <f t="shared" si="4"/>
        <v>1</v>
      </c>
      <c r="AC40" s="1388">
        <f t="shared" si="5"/>
        <v>1</v>
      </c>
    </row>
    <row r="41" spans="1:29" s="1199"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8"/>
      <c r="Q41" s="1413" t="str">
        <f t="shared" si="8"/>
        <v>单套/主力户型建筑面积</v>
      </c>
      <c r="R41" s="1389" t="s">
        <v>8</v>
      </c>
      <c r="S41" s="1390">
        <f t="shared" si="9"/>
        <v>100</v>
      </c>
      <c r="T41" s="1389" t="s">
        <v>8</v>
      </c>
      <c r="U41" s="1390">
        <f t="shared" si="10"/>
        <v>100</v>
      </c>
      <c r="V41" s="1389" t="s">
        <v>8</v>
      </c>
      <c r="W41" s="1390">
        <f t="shared" si="11"/>
        <v>100</v>
      </c>
      <c r="X41" s="1391"/>
      <c r="Y41" s="3938"/>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8"/>
      <c r="Q42" s="1384" t="str">
        <f t="shared" si="8"/>
        <v>内部装修</v>
      </c>
      <c r="R42" s="1385" t="s">
        <v>8</v>
      </c>
      <c r="S42" s="1386">
        <f t="shared" si="9"/>
        <v>100</v>
      </c>
      <c r="T42" s="1385" t="s">
        <v>8</v>
      </c>
      <c r="U42" s="1386">
        <f t="shared" si="10"/>
        <v>100</v>
      </c>
      <c r="V42" s="1385" t="s">
        <v>8</v>
      </c>
      <c r="W42" s="1386">
        <f t="shared" si="11"/>
        <v>100</v>
      </c>
      <c r="X42" s="1379"/>
      <c r="Y42" s="3938"/>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8"/>
      <c r="Q43" s="1384" t="str">
        <f t="shared" si="8"/>
        <v>内部装修维护情况</v>
      </c>
      <c r="R43" s="1385" t="s">
        <v>8</v>
      </c>
      <c r="S43" s="1386">
        <f t="shared" si="9"/>
        <v>100</v>
      </c>
      <c r="T43" s="1385" t="s">
        <v>8</v>
      </c>
      <c r="U43" s="1386">
        <f t="shared" si="10"/>
        <v>100</v>
      </c>
      <c r="V43" s="1385" t="s">
        <v>8</v>
      </c>
      <c r="W43" s="1386">
        <f t="shared" si="11"/>
        <v>100</v>
      </c>
      <c r="X43" s="1379"/>
      <c r="Y43" s="3938"/>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8"/>
      <c r="Q44" s="1049">
        <f t="shared" si="8"/>
        <v>111</v>
      </c>
      <c r="R44" s="1380" t="s">
        <v>8</v>
      </c>
      <c r="S44" s="1381">
        <f t="shared" si="9"/>
        <v>100</v>
      </c>
      <c r="T44" s="1380" t="s">
        <v>8</v>
      </c>
      <c r="U44" s="1381">
        <f t="shared" si="10"/>
        <v>100</v>
      </c>
      <c r="V44" s="1380" t="s">
        <v>8</v>
      </c>
      <c r="W44" s="1381">
        <f t="shared" si="11"/>
        <v>100</v>
      </c>
      <c r="X44" s="1382"/>
      <c r="Y44" s="3938"/>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8"/>
      <c r="Q45" s="1384">
        <f t="shared" si="8"/>
        <v>111</v>
      </c>
      <c r="R45" s="1385" t="s">
        <v>8</v>
      </c>
      <c r="S45" s="1386">
        <f t="shared" si="9"/>
        <v>100</v>
      </c>
      <c r="T45" s="1385" t="s">
        <v>8</v>
      </c>
      <c r="U45" s="1386">
        <f t="shared" si="10"/>
        <v>100</v>
      </c>
      <c r="V45" s="1385" t="s">
        <v>8</v>
      </c>
      <c r="W45" s="1386">
        <f t="shared" si="11"/>
        <v>100</v>
      </c>
      <c r="X45" s="1379"/>
      <c r="Y45" s="3938"/>
      <c r="Z45" s="1387">
        <f t="shared" si="12"/>
        <v>111</v>
      </c>
      <c r="AA45" s="1388">
        <f t="shared" si="3"/>
        <v>1</v>
      </c>
      <c r="AB45" s="1388">
        <f t="shared" si="4"/>
        <v>1</v>
      </c>
      <c r="AC45" s="1388">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31"/>
      <c r="Q46" s="1384">
        <f t="shared" si="8"/>
        <v>111</v>
      </c>
      <c r="R46" s="1385" t="s">
        <v>7</v>
      </c>
      <c r="S46" s="1386">
        <f t="shared" si="9"/>
        <v>100</v>
      </c>
      <c r="T46" s="1385" t="s">
        <v>7</v>
      </c>
      <c r="U46" s="1386">
        <f t="shared" si="10"/>
        <v>100</v>
      </c>
      <c r="V46" s="1385" t="s">
        <v>7</v>
      </c>
      <c r="W46" s="1386">
        <f t="shared" si="11"/>
        <v>100</v>
      </c>
      <c r="X46" s="1379"/>
      <c r="Y46" s="4031"/>
      <c r="Z46" s="1387">
        <f t="shared" si="12"/>
        <v>111</v>
      </c>
      <c r="AA46" s="1388">
        <f t="shared" si="3"/>
        <v>1</v>
      </c>
      <c r="AB46" s="1388">
        <f t="shared" si="4"/>
        <v>1</v>
      </c>
      <c r="AC46" s="1388">
        <f t="shared" si="5"/>
        <v>1</v>
      </c>
    </row>
    <row r="47" spans="1:29" ht="14.4">
      <c r="A47" s="577" t="s">
        <v>683</v>
      </c>
      <c r="B47" s="850"/>
      <c r="C47" s="2233" t="s">
        <v>6</v>
      </c>
      <c r="D47" s="2234"/>
      <c r="E47" s="2235"/>
      <c r="F47" s="2236"/>
      <c r="G47" s="2237"/>
      <c r="H47" s="2238"/>
      <c r="I47" s="2235"/>
      <c r="J47" s="2238"/>
      <c r="K47" s="1414"/>
      <c r="L47" s="1866"/>
      <c r="M47" s="1867"/>
      <c r="N47" s="1856"/>
      <c r="O47" s="1867"/>
      <c r="P47" s="3902" t="str">
        <f>A47</f>
        <v>成交单价（元/平方米）</v>
      </c>
      <c r="Q47" s="3902"/>
      <c r="R47" s="4030">
        <f>E47</f>
        <v>0</v>
      </c>
      <c r="S47" s="4030"/>
      <c r="T47" s="4030">
        <f>G47</f>
        <v>0</v>
      </c>
      <c r="U47" s="4030"/>
      <c r="V47" s="4030">
        <f>I47</f>
        <v>0</v>
      </c>
      <c r="W47" s="4030"/>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902" t="str">
        <f>A48</f>
        <v>比较价格（元/平方米）</v>
      </c>
      <c r="Q48" s="3902"/>
      <c r="R48" s="4030" t="e">
        <f>IF(F1="售价",ROUND(PRODUCT(R47,AA7:AA46),0),ROUND(PRODUCT(R47,AA7:AA46),1))</f>
        <v>#DIV/0!</v>
      </c>
      <c r="S48" s="4030"/>
      <c r="T48" s="4030" t="e">
        <f>IF(F1="售价",ROUND(PRODUCT(T47,AB7:AB46),0),ROUND(PRODUCT(T47,AB7:AB46),1))</f>
        <v>#DIV/0!</v>
      </c>
      <c r="U48" s="4030"/>
      <c r="V48" s="4030" t="e">
        <f>IF(F1="售价",ROUND(PRODUCT(V47,AC7:AC46),0),ROUND(PRODUCT(V47,AC7:AC46),1))</f>
        <v>#DIV/0!</v>
      </c>
      <c r="W48" s="4030"/>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5"/>
      <c r="L49" s="1866"/>
      <c r="M49" s="1867"/>
      <c r="N49" s="1867"/>
      <c r="O49" s="1867"/>
      <c r="P49" s="3939" t="str">
        <f>A49</f>
        <v>估价对象XX用房的比较价格（楼面单价，元/平方米）</v>
      </c>
      <c r="Q49" s="3940"/>
      <c r="R49" s="4029" t="e">
        <f>IF(F1="售价",ROUND(IF(D48="简单平均",AVERAGE(R48:V48),R48*F48+T48*H48+V48*J48),0),ROUND(IF(D48="简单平均",AVERAGE(R48:V48),R48*F48+T48*H48+V48*J48),1))</f>
        <v>#DIV/0!</v>
      </c>
      <c r="S49" s="4029"/>
      <c r="T49" s="4029"/>
      <c r="U49" s="4029"/>
      <c r="V49" s="4029"/>
      <c r="W49" s="402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908" t="s">
        <v>471</v>
      </c>
      <c r="D4" s="3909"/>
      <c r="E4" s="3944" t="s">
        <v>472</v>
      </c>
      <c r="F4" s="3945"/>
      <c r="G4" s="3908" t="s">
        <v>473</v>
      </c>
      <c r="H4" s="3909"/>
      <c r="I4" s="3908" t="s">
        <v>474</v>
      </c>
      <c r="J4" s="3909"/>
      <c r="K4" s="484"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3" t="s">
        <v>473</v>
      </c>
      <c r="AC4" s="3905" t="s">
        <v>474</v>
      </c>
    </row>
    <row r="5" spans="1:29">
      <c r="A5" s="485"/>
      <c r="B5" s="486"/>
      <c r="C5" s="3924" t="s">
        <v>2192</v>
      </c>
      <c r="D5" s="3925"/>
      <c r="E5" s="3946" t="s">
        <v>2193</v>
      </c>
      <c r="F5" s="3947"/>
      <c r="G5" s="3924" t="s">
        <v>2194</v>
      </c>
      <c r="H5" s="3925"/>
      <c r="I5" s="3924" t="s">
        <v>2195</v>
      </c>
      <c r="J5" s="3925"/>
      <c r="K5" s="484"/>
      <c r="L5" s="1855"/>
      <c r="M5" s="1856"/>
      <c r="N5" s="1856"/>
      <c r="O5" s="1856"/>
      <c r="P5" s="3912"/>
      <c r="Q5" s="3913"/>
      <c r="R5" s="3918"/>
      <c r="S5" s="3919"/>
      <c r="T5" s="3918"/>
      <c r="U5" s="3919"/>
      <c r="V5" s="3903"/>
      <c r="W5" s="3903"/>
      <c r="X5" s="1379"/>
      <c r="Y5" s="3918"/>
      <c r="Z5" s="3919"/>
      <c r="AA5" s="3906"/>
      <c r="AB5" s="3903"/>
      <c r="AC5" s="3906"/>
    </row>
    <row r="6" spans="1:29" ht="15" thickBot="1">
      <c r="A6" s="487"/>
      <c r="B6" s="488"/>
      <c r="C6" s="3922" t="s">
        <v>2196</v>
      </c>
      <c r="D6" s="3923"/>
      <c r="E6" s="3942" t="s">
        <v>2196</v>
      </c>
      <c r="F6" s="3943"/>
      <c r="G6" s="3922" t="s">
        <v>2196</v>
      </c>
      <c r="H6" s="3923"/>
      <c r="I6" s="3922" t="s">
        <v>2196</v>
      </c>
      <c r="J6" s="3923"/>
      <c r="K6" s="484" t="s">
        <v>477</v>
      </c>
      <c r="L6" s="1855"/>
      <c r="M6" s="1856"/>
      <c r="N6" s="1856"/>
      <c r="O6" s="1856"/>
      <c r="P6" s="3914"/>
      <c r="Q6" s="3915"/>
      <c r="R6" s="3918"/>
      <c r="S6" s="3919"/>
      <c r="T6" s="3920"/>
      <c r="U6" s="3921"/>
      <c r="V6" s="3903"/>
      <c r="W6" s="3903"/>
      <c r="X6" s="1379"/>
      <c r="Y6" s="3920"/>
      <c r="Z6" s="3921"/>
      <c r="AA6" s="3907"/>
      <c r="AB6" s="3903"/>
      <c r="AC6" s="3907"/>
    </row>
    <row r="7" spans="1:29" s="1117" customFormat="1" ht="15" thickBot="1">
      <c r="A7" s="2391"/>
      <c r="B7" s="2398" t="s">
        <v>478</v>
      </c>
      <c r="C7" s="489">
        <f>'数据-取费表'!B2</f>
        <v>45597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32"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46"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2"/>
      <c r="Q11" s="1049" t="str">
        <f t="shared" si="6"/>
        <v>容积率</v>
      </c>
      <c r="R11" s="1380" t="s">
        <v>5</v>
      </c>
      <c r="S11" s="1381" t="e">
        <f t="shared" si="0"/>
        <v>#N/A</v>
      </c>
      <c r="T11" s="1380" t="s">
        <v>5</v>
      </c>
      <c r="U11" s="1381" t="e">
        <f t="shared" si="1"/>
        <v>#N/A</v>
      </c>
      <c r="V11" s="1380" t="s">
        <v>5</v>
      </c>
      <c r="W11" s="1381" t="e">
        <f t="shared" si="2"/>
        <v>#N/A</v>
      </c>
      <c r="X11" s="1382"/>
      <c r="Y11" s="384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46"/>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46"/>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2"/>
      <c r="Q14" s="1049">
        <f t="shared" si="6"/>
        <v>111</v>
      </c>
      <c r="R14" s="1380" t="s">
        <v>5</v>
      </c>
      <c r="S14" s="1381">
        <f t="shared" si="0"/>
        <v>100</v>
      </c>
      <c r="T14" s="1380" t="s">
        <v>5</v>
      </c>
      <c r="U14" s="1381">
        <f t="shared" si="1"/>
        <v>100</v>
      </c>
      <c r="V14" s="1380" t="s">
        <v>5</v>
      </c>
      <c r="W14" s="1381">
        <f t="shared" si="2"/>
        <v>100</v>
      </c>
      <c r="X14" s="1382"/>
      <c r="Y14" s="3846"/>
      <c r="Z14" s="1048">
        <f t="shared" si="7"/>
        <v>111</v>
      </c>
      <c r="AA14" s="1383">
        <f t="shared" si="3"/>
        <v>1</v>
      </c>
      <c r="AB14" s="1383">
        <f t="shared" si="4"/>
        <v>1</v>
      </c>
      <c r="AC14" s="1383">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35" t="s">
        <v>489</v>
      </c>
      <c r="Q15" s="1384" t="str">
        <f t="shared" si="6"/>
        <v>商业繁华度</v>
      </c>
      <c r="R15" s="1385" t="s">
        <v>5</v>
      </c>
      <c r="S15" s="1386">
        <f t="shared" si="0"/>
        <v>100</v>
      </c>
      <c r="T15" s="1385" t="s">
        <v>5</v>
      </c>
      <c r="U15" s="1386">
        <f t="shared" si="1"/>
        <v>100</v>
      </c>
      <c r="V15" s="1385" t="s">
        <v>5</v>
      </c>
      <c r="W15" s="1386">
        <f t="shared" si="2"/>
        <v>100</v>
      </c>
      <c r="X15" s="1379"/>
      <c r="Y15" s="3935"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6"/>
      <c r="Q16" s="1384"/>
      <c r="R16" s="1385"/>
      <c r="S16" s="1386"/>
      <c r="T16" s="1385"/>
      <c r="U16" s="1386"/>
      <c r="V16" s="1385"/>
      <c r="W16" s="1386"/>
      <c r="X16" s="1379"/>
      <c r="Y16" s="3936"/>
      <c r="Z16" s="1387"/>
      <c r="AA16" s="1388">
        <v>1</v>
      </c>
      <c r="AB16" s="1388">
        <v>1</v>
      </c>
      <c r="AC16" s="1388">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6"/>
      <c r="Q18" s="1384"/>
      <c r="R18" s="1385"/>
      <c r="S18" s="1386"/>
      <c r="T18" s="1385"/>
      <c r="U18" s="1386"/>
      <c r="V18" s="1385"/>
      <c r="W18" s="1386"/>
      <c r="X18" s="1379"/>
      <c r="Y18" s="3936"/>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36"/>
      <c r="Q20" s="1384"/>
      <c r="R20" s="1385"/>
      <c r="S20" s="1386"/>
      <c r="T20" s="1385"/>
      <c r="U20" s="1386"/>
      <c r="V20" s="1385"/>
      <c r="W20" s="1386"/>
      <c r="X20" s="1379"/>
      <c r="Y20" s="3936"/>
      <c r="Z20" s="1387"/>
      <c r="AA20" s="1388">
        <v>1</v>
      </c>
      <c r="AB20" s="1388">
        <v>1</v>
      </c>
      <c r="AC20" s="1388">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36"/>
      <c r="Q22" s="2192"/>
      <c r="R22" s="1385"/>
      <c r="S22" s="1386"/>
      <c r="T22" s="1385"/>
      <c r="U22" s="1386"/>
      <c r="V22" s="1385"/>
      <c r="W22" s="1386"/>
      <c r="X22" s="2194"/>
      <c r="Y22" s="3936"/>
      <c r="Z22" s="2193"/>
      <c r="AA22" s="1388">
        <v>1</v>
      </c>
      <c r="AB22" s="1388">
        <v>1</v>
      </c>
      <c r="AC22" s="1388">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36"/>
      <c r="Q23" s="1384" t="str">
        <f>B23</f>
        <v>自然及人文环境</v>
      </c>
      <c r="R23" s="1385" t="s">
        <v>5</v>
      </c>
      <c r="S23" s="1386">
        <f>F23</f>
        <v>100</v>
      </c>
      <c r="T23" s="1385" t="s">
        <v>5</v>
      </c>
      <c r="U23" s="1386">
        <f>H23</f>
        <v>100</v>
      </c>
      <c r="V23" s="1385" t="s">
        <v>5</v>
      </c>
      <c r="W23" s="1386">
        <f>J23</f>
        <v>100</v>
      </c>
      <c r="X23" s="1379"/>
      <c r="Y23" s="3936"/>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36"/>
      <c r="Q25" s="1384" t="str">
        <f t="shared" ref="Q25:Q46" si="8">B25</f>
        <v>临街状况</v>
      </c>
      <c r="R25" s="1385" t="s">
        <v>5</v>
      </c>
      <c r="S25" s="1386">
        <f>F25</f>
        <v>100</v>
      </c>
      <c r="T25" s="1385" t="s">
        <v>5</v>
      </c>
      <c r="U25" s="1386">
        <f>H25</f>
        <v>100</v>
      </c>
      <c r="V25" s="1385" t="s">
        <v>5</v>
      </c>
      <c r="W25" s="1386">
        <f>J25</f>
        <v>100</v>
      </c>
      <c r="X25" s="1379"/>
      <c r="Y25" s="3936"/>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36"/>
      <c r="Q26" s="1384" t="str">
        <f t="shared" si="8"/>
        <v>平面位置/可视性</v>
      </c>
      <c r="R26" s="1385" t="s">
        <v>5</v>
      </c>
      <c r="S26" s="1386">
        <f>F26</f>
        <v>100</v>
      </c>
      <c r="T26" s="1385" t="s">
        <v>5</v>
      </c>
      <c r="U26" s="1386">
        <f>H26</f>
        <v>100</v>
      </c>
      <c r="V26" s="1385" t="s">
        <v>5</v>
      </c>
      <c r="W26" s="1386">
        <f>J26</f>
        <v>100</v>
      </c>
      <c r="X26" s="1379"/>
      <c r="Y26" s="3936"/>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36"/>
      <c r="Q27" s="1049" t="str">
        <f t="shared" si="8"/>
        <v>人流量</v>
      </c>
      <c r="R27" s="1380" t="s">
        <v>5</v>
      </c>
      <c r="S27" s="1381">
        <f>F27</f>
        <v>100</v>
      </c>
      <c r="T27" s="1380" t="s">
        <v>5</v>
      </c>
      <c r="U27" s="1381">
        <f>H27</f>
        <v>100</v>
      </c>
      <c r="V27" s="1380" t="s">
        <v>5</v>
      </c>
      <c r="W27" s="1381">
        <f>J27</f>
        <v>100</v>
      </c>
      <c r="X27" s="1382"/>
      <c r="Y27" s="3936"/>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36"/>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36"/>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36"/>
      <c r="Q29" s="1384">
        <f t="shared" si="8"/>
        <v>111</v>
      </c>
      <c r="R29" s="1385" t="s">
        <v>5</v>
      </c>
      <c r="S29" s="1386">
        <f t="shared" si="9"/>
        <v>100</v>
      </c>
      <c r="T29" s="1385" t="s">
        <v>5</v>
      </c>
      <c r="U29" s="1386">
        <f t="shared" si="10"/>
        <v>100</v>
      </c>
      <c r="V29" s="1385" t="s">
        <v>5</v>
      </c>
      <c r="W29" s="1386">
        <f t="shared" si="11"/>
        <v>100</v>
      </c>
      <c r="X29" s="1379"/>
      <c r="Y29" s="3936"/>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36"/>
      <c r="Q30" s="1384">
        <f t="shared" si="8"/>
        <v>111</v>
      </c>
      <c r="R30" s="1385" t="s">
        <v>5</v>
      </c>
      <c r="S30" s="1386">
        <f t="shared" si="9"/>
        <v>100</v>
      </c>
      <c r="T30" s="1385" t="s">
        <v>5</v>
      </c>
      <c r="U30" s="1386">
        <f t="shared" si="10"/>
        <v>100</v>
      </c>
      <c r="V30" s="1385" t="s">
        <v>5</v>
      </c>
      <c r="W30" s="1386">
        <f t="shared" si="11"/>
        <v>100</v>
      </c>
      <c r="X30" s="1379"/>
      <c r="Y30" s="3936"/>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36"/>
      <c r="Q31" s="1384">
        <f t="shared" si="8"/>
        <v>111</v>
      </c>
      <c r="R31" s="1385" t="s">
        <v>5</v>
      </c>
      <c r="S31" s="1386">
        <f t="shared" si="9"/>
        <v>100</v>
      </c>
      <c r="T31" s="1385" t="s">
        <v>5</v>
      </c>
      <c r="U31" s="1386">
        <f t="shared" si="10"/>
        <v>100</v>
      </c>
      <c r="V31" s="1385" t="s">
        <v>5</v>
      </c>
      <c r="W31" s="1386">
        <f t="shared" si="11"/>
        <v>100</v>
      </c>
      <c r="X31" s="1379"/>
      <c r="Y31" s="3936"/>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37" t="s">
        <v>499</v>
      </c>
      <c r="Q32" s="1384" t="str">
        <f t="shared" si="8"/>
        <v>商业类型</v>
      </c>
      <c r="R32" s="1385" t="s">
        <v>5</v>
      </c>
      <c r="S32" s="1386">
        <f t="shared" si="9"/>
        <v>100</v>
      </c>
      <c r="T32" s="1385" t="s">
        <v>5</v>
      </c>
      <c r="U32" s="1386">
        <f t="shared" si="10"/>
        <v>100</v>
      </c>
      <c r="V32" s="1385" t="s">
        <v>5</v>
      </c>
      <c r="W32" s="1386">
        <f t="shared" si="11"/>
        <v>100</v>
      </c>
      <c r="X32" s="1379"/>
      <c r="Y32" s="3938" t="s">
        <v>499</v>
      </c>
      <c r="Z32" s="1387" t="str">
        <f t="shared" si="12"/>
        <v>商业类型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8"/>
      <c r="Q33" s="1413" t="str">
        <f t="shared" si="8"/>
        <v>项目建筑规模</v>
      </c>
      <c r="R33" s="1389" t="s">
        <v>5</v>
      </c>
      <c r="S33" s="1390" t="e">
        <f t="shared" si="9"/>
        <v>#N/A</v>
      </c>
      <c r="T33" s="1389" t="s">
        <v>5</v>
      </c>
      <c r="U33" s="1390" t="e">
        <f t="shared" si="10"/>
        <v>#N/A</v>
      </c>
      <c r="V33" s="1389" t="s">
        <v>5</v>
      </c>
      <c r="W33" s="1390" t="e">
        <f t="shared" si="11"/>
        <v>#N/A</v>
      </c>
      <c r="X33" s="1391"/>
      <c r="Y33" s="3938"/>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8"/>
      <c r="Q34" s="1384" t="str">
        <f t="shared" si="8"/>
        <v>建筑结构</v>
      </c>
      <c r="R34" s="1385" t="s">
        <v>5</v>
      </c>
      <c r="S34" s="1386">
        <f t="shared" si="9"/>
        <v>100</v>
      </c>
      <c r="T34" s="1385" t="s">
        <v>5</v>
      </c>
      <c r="U34" s="1386">
        <f t="shared" si="10"/>
        <v>100</v>
      </c>
      <c r="V34" s="1385" t="s">
        <v>5</v>
      </c>
      <c r="W34" s="1386">
        <f t="shared" si="11"/>
        <v>100</v>
      </c>
      <c r="X34" s="1379"/>
      <c r="Y34" s="3938"/>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8"/>
      <c r="Q35" s="1384" t="str">
        <f t="shared" si="8"/>
        <v>公共部分装修</v>
      </c>
      <c r="R35" s="1385" t="s">
        <v>5</v>
      </c>
      <c r="S35" s="1386">
        <f t="shared" si="9"/>
        <v>100</v>
      </c>
      <c r="T35" s="1385" t="s">
        <v>5</v>
      </c>
      <c r="U35" s="1386">
        <f t="shared" si="10"/>
        <v>100</v>
      </c>
      <c r="V35" s="1385" t="s">
        <v>5</v>
      </c>
      <c r="W35" s="1386">
        <f t="shared" si="11"/>
        <v>100</v>
      </c>
      <c r="X35" s="1379"/>
      <c r="Y35" s="3938"/>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8"/>
      <c r="Q36" s="1384" t="str">
        <f t="shared" si="8"/>
        <v>成新度</v>
      </c>
      <c r="R36" s="1385" t="s">
        <v>5</v>
      </c>
      <c r="S36" s="1386" t="e">
        <f t="shared" si="9"/>
        <v>#N/A</v>
      </c>
      <c r="T36" s="1385" t="s">
        <v>5</v>
      </c>
      <c r="U36" s="1386" t="e">
        <f t="shared" si="10"/>
        <v>#N/A</v>
      </c>
      <c r="V36" s="1385" t="s">
        <v>5</v>
      </c>
      <c r="W36" s="1386" t="e">
        <f t="shared" si="11"/>
        <v>#N/A</v>
      </c>
      <c r="X36" s="1379"/>
      <c r="Y36" s="3938"/>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8"/>
      <c r="Q37" s="1049" t="str">
        <f t="shared" si="8"/>
        <v>市政基础设施</v>
      </c>
      <c r="R37" s="1380" t="s">
        <v>5</v>
      </c>
      <c r="S37" s="1381">
        <f t="shared" si="9"/>
        <v>100</v>
      </c>
      <c r="T37" s="1380" t="s">
        <v>5</v>
      </c>
      <c r="U37" s="1381">
        <f t="shared" si="10"/>
        <v>100</v>
      </c>
      <c r="V37" s="1380" t="s">
        <v>5</v>
      </c>
      <c r="W37" s="1381">
        <f t="shared" si="11"/>
        <v>100</v>
      </c>
      <c r="X37" s="1382"/>
      <c r="Y37" s="3938"/>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8" t="s">
        <v>706</v>
      </c>
      <c r="Q38" s="1384" t="str">
        <f t="shared" si="8"/>
        <v>业态</v>
      </c>
      <c r="R38" s="1385" t="s">
        <v>5</v>
      </c>
      <c r="S38" s="1386">
        <f t="shared" si="9"/>
        <v>100</v>
      </c>
      <c r="T38" s="1385" t="s">
        <v>5</v>
      </c>
      <c r="U38" s="1386">
        <f t="shared" si="10"/>
        <v>100</v>
      </c>
      <c r="V38" s="1385" t="s">
        <v>5</v>
      </c>
      <c r="W38" s="1386">
        <f t="shared" si="11"/>
        <v>100</v>
      </c>
      <c r="X38" s="1379"/>
      <c r="Y38" s="3938"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8"/>
      <c r="Q39" s="1384" t="str">
        <f t="shared" si="8"/>
        <v>层高</v>
      </c>
      <c r="R39" s="1385" t="s">
        <v>5</v>
      </c>
      <c r="S39" s="1386">
        <f t="shared" si="9"/>
        <v>100</v>
      </c>
      <c r="T39" s="1385" t="s">
        <v>5</v>
      </c>
      <c r="U39" s="1386">
        <f t="shared" si="10"/>
        <v>100</v>
      </c>
      <c r="V39" s="1385" t="s">
        <v>5</v>
      </c>
      <c r="W39" s="1386">
        <f t="shared" si="11"/>
        <v>100</v>
      </c>
      <c r="X39" s="1379"/>
      <c r="Y39" s="3938"/>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8"/>
      <c r="Q40" s="1384" t="str">
        <f t="shared" si="8"/>
        <v>单套建筑面积</v>
      </c>
      <c r="R40" s="1385" t="s">
        <v>5</v>
      </c>
      <c r="S40" s="1386">
        <f t="shared" si="9"/>
        <v>100</v>
      </c>
      <c r="T40" s="1385" t="s">
        <v>5</v>
      </c>
      <c r="U40" s="1386">
        <f t="shared" si="10"/>
        <v>100</v>
      </c>
      <c r="V40" s="1385" t="s">
        <v>5</v>
      </c>
      <c r="W40" s="1386">
        <f t="shared" si="11"/>
        <v>100</v>
      </c>
      <c r="X40" s="1379"/>
      <c r="Y40" s="3938"/>
      <c r="Z40" s="1387" t="str">
        <f t="shared" si="12"/>
        <v>单套建筑面积</v>
      </c>
      <c r="AA40" s="1388">
        <f t="shared" si="3"/>
        <v>1</v>
      </c>
      <c r="AB40" s="1388">
        <f t="shared" si="4"/>
        <v>1</v>
      </c>
      <c r="AC40" s="1388">
        <f t="shared" si="5"/>
        <v>1</v>
      </c>
    </row>
    <row r="41" spans="1:29" s="1199"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8"/>
      <c r="Q41" s="1413" t="str">
        <f t="shared" si="8"/>
        <v>进深比</v>
      </c>
      <c r="R41" s="1389" t="s">
        <v>5</v>
      </c>
      <c r="S41" s="1390">
        <f t="shared" si="9"/>
        <v>100</v>
      </c>
      <c r="T41" s="1389" t="s">
        <v>5</v>
      </c>
      <c r="U41" s="1390">
        <f t="shared" si="10"/>
        <v>100</v>
      </c>
      <c r="V41" s="1389" t="s">
        <v>5</v>
      </c>
      <c r="W41" s="1390">
        <f t="shared" si="11"/>
        <v>100</v>
      </c>
      <c r="X41" s="1391"/>
      <c r="Y41" s="3938"/>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8"/>
      <c r="Q42" s="1384" t="str">
        <f t="shared" si="8"/>
        <v>内部装修</v>
      </c>
      <c r="R42" s="1385" t="s">
        <v>5</v>
      </c>
      <c r="S42" s="1386">
        <f t="shared" si="9"/>
        <v>100</v>
      </c>
      <c r="T42" s="1385" t="s">
        <v>5</v>
      </c>
      <c r="U42" s="1386">
        <f t="shared" si="10"/>
        <v>100</v>
      </c>
      <c r="V42" s="1385" t="s">
        <v>5</v>
      </c>
      <c r="W42" s="1386">
        <f t="shared" si="11"/>
        <v>100</v>
      </c>
      <c r="X42" s="1379"/>
      <c r="Y42" s="3938"/>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8"/>
      <c r="Q43" s="1384" t="str">
        <f t="shared" si="8"/>
        <v>内部装修维护情况</v>
      </c>
      <c r="R43" s="1385" t="s">
        <v>5</v>
      </c>
      <c r="S43" s="1386">
        <f t="shared" si="9"/>
        <v>100</v>
      </c>
      <c r="T43" s="1385" t="s">
        <v>5</v>
      </c>
      <c r="U43" s="1386">
        <f t="shared" si="10"/>
        <v>100</v>
      </c>
      <c r="V43" s="1385" t="s">
        <v>5</v>
      </c>
      <c r="W43" s="1386">
        <f t="shared" si="11"/>
        <v>100</v>
      </c>
      <c r="X43" s="1379"/>
      <c r="Y43" s="3938"/>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8"/>
      <c r="Q44" s="1049">
        <f t="shared" si="8"/>
        <v>111</v>
      </c>
      <c r="R44" s="1380" t="s">
        <v>5</v>
      </c>
      <c r="S44" s="1381">
        <f t="shared" si="9"/>
        <v>100</v>
      </c>
      <c r="T44" s="1380" t="s">
        <v>5</v>
      </c>
      <c r="U44" s="1381">
        <f t="shared" si="10"/>
        <v>100</v>
      </c>
      <c r="V44" s="1380" t="s">
        <v>5</v>
      </c>
      <c r="W44" s="1381">
        <f t="shared" si="11"/>
        <v>100</v>
      </c>
      <c r="X44" s="1382"/>
      <c r="Y44" s="3938"/>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8"/>
      <c r="Q45" s="1384">
        <f t="shared" si="8"/>
        <v>111</v>
      </c>
      <c r="R45" s="1385" t="s">
        <v>5</v>
      </c>
      <c r="S45" s="1386">
        <f t="shared" si="9"/>
        <v>100</v>
      </c>
      <c r="T45" s="1385" t="s">
        <v>5</v>
      </c>
      <c r="U45" s="1386">
        <f t="shared" si="10"/>
        <v>100</v>
      </c>
      <c r="V45" s="1385" t="s">
        <v>5</v>
      </c>
      <c r="W45" s="1386">
        <f t="shared" si="11"/>
        <v>100</v>
      </c>
      <c r="X45" s="1379"/>
      <c r="Y45" s="3938"/>
      <c r="Z45" s="1387">
        <f t="shared" si="12"/>
        <v>111</v>
      </c>
      <c r="AA45" s="1388">
        <f t="shared" si="3"/>
        <v>1</v>
      </c>
      <c r="AB45" s="1388">
        <f t="shared" si="4"/>
        <v>1</v>
      </c>
      <c r="AC45" s="1388">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31"/>
      <c r="Q46" s="1384">
        <f t="shared" si="8"/>
        <v>111</v>
      </c>
      <c r="R46" s="1385" t="s">
        <v>5</v>
      </c>
      <c r="S46" s="1386">
        <f t="shared" si="9"/>
        <v>100</v>
      </c>
      <c r="T46" s="1385" t="s">
        <v>5</v>
      </c>
      <c r="U46" s="1386">
        <f t="shared" si="10"/>
        <v>100</v>
      </c>
      <c r="V46" s="1385" t="s">
        <v>5</v>
      </c>
      <c r="W46" s="1386">
        <f t="shared" si="11"/>
        <v>100</v>
      </c>
      <c r="X46" s="1379"/>
      <c r="Y46" s="4031"/>
      <c r="Z46" s="1387">
        <f t="shared" si="12"/>
        <v>111</v>
      </c>
      <c r="AA46" s="1388">
        <f t="shared" si="3"/>
        <v>1</v>
      </c>
      <c r="AB46" s="1388">
        <f t="shared" si="4"/>
        <v>1</v>
      </c>
      <c r="AC46" s="1388">
        <f t="shared" si="5"/>
        <v>1</v>
      </c>
    </row>
    <row r="47" spans="1:29" ht="14.4">
      <c r="A47" s="577" t="s">
        <v>683</v>
      </c>
      <c r="B47" s="850"/>
      <c r="C47" s="2233" t="s">
        <v>0</v>
      </c>
      <c r="D47" s="2234"/>
      <c r="E47" s="2235"/>
      <c r="F47" s="2236"/>
      <c r="G47" s="2237"/>
      <c r="H47" s="2238"/>
      <c r="I47" s="2235"/>
      <c r="J47" s="2238"/>
      <c r="K47" s="1418"/>
      <c r="L47" s="1866"/>
      <c r="M47" s="1867"/>
      <c r="N47" s="1856"/>
      <c r="O47" s="1867"/>
      <c r="P47" s="3902" t="str">
        <f>A47</f>
        <v>成交单价（元/平方米）</v>
      </c>
      <c r="Q47" s="3902"/>
      <c r="R47" s="4030">
        <f>E47</f>
        <v>0</v>
      </c>
      <c r="S47" s="4030"/>
      <c r="T47" s="4030">
        <f>G47</f>
        <v>0</v>
      </c>
      <c r="U47" s="4030"/>
      <c r="V47" s="4030">
        <f>I47</f>
        <v>0</v>
      </c>
      <c r="W47" s="4030"/>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902" t="str">
        <f>A48</f>
        <v>比较价格（元/平方米）</v>
      </c>
      <c r="Q48" s="3902"/>
      <c r="R48" s="4030" t="e">
        <f>IF(F1="售价",ROUND(PRODUCT(R47,AA7:AA46),0),ROUND(PRODUCT(R47,AA7:AA46),1))</f>
        <v>#DIV/0!</v>
      </c>
      <c r="S48" s="4030"/>
      <c r="T48" s="4030" t="e">
        <f>IF(F1="售价",ROUND(PRODUCT(T47,AB7:AB46),0),ROUND(PRODUCT(T47,AB7:AB46),1))</f>
        <v>#DIV/0!</v>
      </c>
      <c r="U48" s="4030"/>
      <c r="V48" s="4030" t="e">
        <f>IF(F1="售价",ROUND(PRODUCT(V47,AC7:AC46),0),ROUND(PRODUCT(V47,AC7:AC46),1))</f>
        <v>#DIV/0!</v>
      </c>
      <c r="W48" s="4030"/>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9"/>
      <c r="L49" s="1866"/>
      <c r="M49" s="1867"/>
      <c r="N49" s="1856"/>
      <c r="O49" s="1867"/>
      <c r="P49" s="3939" t="str">
        <f>A49</f>
        <v>估价对象XX用房的比较价格（楼面单价，元/平方米）</v>
      </c>
      <c r="Q49" s="3940"/>
      <c r="R49" s="4029" t="e">
        <f>IF(F1="售价",ROUND(IF(D48="简单平均",AVERAGE(R48:V48),R48*F48+T48*H48+V48*J48),0),ROUND(IF(D48="简单平均",AVERAGE(R48:V48),R48*F48+T48*H48+V48*J48),1))</f>
        <v>#DIV/0!</v>
      </c>
      <c r="S49" s="4029"/>
      <c r="T49" s="4029"/>
      <c r="U49" s="4029"/>
      <c r="V49" s="4029"/>
      <c r="W49" s="4029"/>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908" t="s">
        <v>471</v>
      </c>
      <c r="D4" s="3909"/>
      <c r="E4" s="3944" t="s">
        <v>472</v>
      </c>
      <c r="F4" s="3945"/>
      <c r="G4" s="3908" t="s">
        <v>473</v>
      </c>
      <c r="H4" s="3909"/>
      <c r="I4" s="3908" t="s">
        <v>474</v>
      </c>
      <c r="J4" s="3909"/>
      <c r="K4" s="484" t="s">
        <v>475</v>
      </c>
      <c r="L4" s="1855"/>
      <c r="M4" s="1856"/>
      <c r="N4" s="1856"/>
      <c r="O4" s="1856"/>
      <c r="P4" s="4033" t="s">
        <v>476</v>
      </c>
      <c r="Q4" s="3911"/>
      <c r="R4" s="3916" t="s">
        <v>472</v>
      </c>
      <c r="S4" s="3917"/>
      <c r="T4" s="3916" t="s">
        <v>473</v>
      </c>
      <c r="U4" s="3917"/>
      <c r="V4" s="3903" t="s">
        <v>474</v>
      </c>
      <c r="W4" s="3903"/>
      <c r="X4" s="1379"/>
      <c r="Y4" s="3916" t="s">
        <v>476</v>
      </c>
      <c r="Z4" s="3917"/>
      <c r="AA4" s="3905" t="s">
        <v>472</v>
      </c>
      <c r="AB4" s="3905" t="s">
        <v>473</v>
      </c>
      <c r="AC4" s="3905" t="s">
        <v>474</v>
      </c>
    </row>
    <row r="5" spans="1:29">
      <c r="A5" s="485"/>
      <c r="B5" s="486"/>
      <c r="C5" s="3924" t="s">
        <v>2192</v>
      </c>
      <c r="D5" s="3925"/>
      <c r="E5" s="3946" t="s">
        <v>2193</v>
      </c>
      <c r="F5" s="3947"/>
      <c r="G5" s="3924" t="s">
        <v>2194</v>
      </c>
      <c r="H5" s="3925"/>
      <c r="I5" s="3924" t="s">
        <v>2195</v>
      </c>
      <c r="J5" s="3925"/>
      <c r="K5" s="484"/>
      <c r="L5" s="1855"/>
      <c r="M5" s="1856"/>
      <c r="N5" s="1856"/>
      <c r="O5" s="1856"/>
      <c r="P5" s="4034"/>
      <c r="Q5" s="3913"/>
      <c r="R5" s="3918"/>
      <c r="S5" s="3919"/>
      <c r="T5" s="3918"/>
      <c r="U5" s="3919"/>
      <c r="V5" s="3903"/>
      <c r="W5" s="3903"/>
      <c r="X5" s="1379"/>
      <c r="Y5" s="3918"/>
      <c r="Z5" s="3919"/>
      <c r="AA5" s="3906"/>
      <c r="AB5" s="3906"/>
      <c r="AC5" s="3906"/>
    </row>
    <row r="6" spans="1:29" ht="15" thickBot="1">
      <c r="A6" s="487"/>
      <c r="B6" s="488"/>
      <c r="C6" s="3922" t="s">
        <v>2196</v>
      </c>
      <c r="D6" s="3923"/>
      <c r="E6" s="3942" t="s">
        <v>2196</v>
      </c>
      <c r="F6" s="3943"/>
      <c r="G6" s="3922" t="s">
        <v>2196</v>
      </c>
      <c r="H6" s="3923"/>
      <c r="I6" s="3922" t="s">
        <v>2196</v>
      </c>
      <c r="J6" s="3923"/>
      <c r="K6" s="484" t="s">
        <v>477</v>
      </c>
      <c r="L6" s="1855"/>
      <c r="M6" s="1856"/>
      <c r="N6" s="1856"/>
      <c r="O6" s="1856"/>
      <c r="P6" s="4035"/>
      <c r="Q6" s="3915"/>
      <c r="R6" s="3918"/>
      <c r="S6" s="3919"/>
      <c r="T6" s="3920"/>
      <c r="U6" s="3921"/>
      <c r="V6" s="3903"/>
      <c r="W6" s="3903"/>
      <c r="X6" s="1379"/>
      <c r="Y6" s="3920"/>
      <c r="Z6" s="3921"/>
      <c r="AA6" s="3907"/>
      <c r="AB6" s="3907"/>
      <c r="AC6" s="3907"/>
    </row>
    <row r="7" spans="1:29" s="1117" customFormat="1" ht="15" thickBot="1">
      <c r="A7" s="2391"/>
      <c r="B7" s="2398" t="s">
        <v>478</v>
      </c>
      <c r="C7" s="489">
        <f>'数据-取费表'!B2</f>
        <v>45597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34"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34" t="s">
        <v>482</v>
      </c>
      <c r="Q8" s="3933"/>
      <c r="R8" s="1380" t="s">
        <v>5</v>
      </c>
      <c r="S8" s="1381">
        <f t="shared" si="0"/>
        <v>0</v>
      </c>
      <c r="T8" s="1380" t="s">
        <v>5</v>
      </c>
      <c r="U8" s="1381">
        <f t="shared" si="1"/>
        <v>0</v>
      </c>
      <c r="V8" s="1380" t="s">
        <v>5</v>
      </c>
      <c r="W8" s="1381">
        <f t="shared" si="2"/>
        <v>0</v>
      </c>
      <c r="X8" s="1382"/>
      <c r="Y8" s="3932" t="s">
        <v>482</v>
      </c>
      <c r="Z8" s="3933"/>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2" t="s">
        <v>484</v>
      </c>
      <c r="Q9" s="1049" t="str">
        <f t="shared" ref="Q9:Q15" si="6">B9</f>
        <v>用途</v>
      </c>
      <c r="R9" s="1380" t="s">
        <v>5</v>
      </c>
      <c r="S9" s="1381">
        <f t="shared" si="0"/>
        <v>100</v>
      </c>
      <c r="T9" s="1380" t="s">
        <v>5</v>
      </c>
      <c r="U9" s="1381">
        <f t="shared" si="1"/>
        <v>100</v>
      </c>
      <c r="V9" s="1380" t="s">
        <v>5</v>
      </c>
      <c r="W9" s="1381">
        <f t="shared" si="2"/>
        <v>100</v>
      </c>
      <c r="X9" s="1382"/>
      <c r="Y9" s="3846"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2"/>
      <c r="Q11" s="1049" t="str">
        <f t="shared" si="6"/>
        <v>容积率</v>
      </c>
      <c r="R11" s="1380" t="s">
        <v>5</v>
      </c>
      <c r="S11" s="1381" t="e">
        <f t="shared" si="0"/>
        <v>#N/A</v>
      </c>
      <c r="T11" s="1380" t="s">
        <v>5</v>
      </c>
      <c r="U11" s="1381" t="e">
        <f t="shared" si="1"/>
        <v>#N/A</v>
      </c>
      <c r="V11" s="1380" t="s">
        <v>5</v>
      </c>
      <c r="W11" s="1381" t="e">
        <f t="shared" si="2"/>
        <v>#N/A</v>
      </c>
      <c r="X11" s="1382"/>
      <c r="Y11" s="384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2"/>
      <c r="Q12" s="1049">
        <f t="shared" si="6"/>
        <v>111</v>
      </c>
      <c r="R12" s="1380" t="s">
        <v>5</v>
      </c>
      <c r="S12" s="1381">
        <f t="shared" si="0"/>
        <v>100</v>
      </c>
      <c r="T12" s="1380" t="s">
        <v>5</v>
      </c>
      <c r="U12" s="1381">
        <f t="shared" si="1"/>
        <v>100</v>
      </c>
      <c r="V12" s="1380" t="s">
        <v>5</v>
      </c>
      <c r="W12" s="1381">
        <f t="shared" si="2"/>
        <v>100</v>
      </c>
      <c r="X12" s="1382"/>
      <c r="Y12" s="3846"/>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2"/>
      <c r="Q13" s="1049">
        <f t="shared" si="6"/>
        <v>111</v>
      </c>
      <c r="R13" s="1380" t="s">
        <v>5</v>
      </c>
      <c r="S13" s="1381">
        <f t="shared" si="0"/>
        <v>100</v>
      </c>
      <c r="T13" s="1380" t="s">
        <v>5</v>
      </c>
      <c r="U13" s="1381">
        <f t="shared" si="1"/>
        <v>100</v>
      </c>
      <c r="V13" s="1380" t="s">
        <v>5</v>
      </c>
      <c r="W13" s="1381">
        <f t="shared" si="2"/>
        <v>100</v>
      </c>
      <c r="X13" s="1382"/>
      <c r="Y13" s="3846"/>
      <c r="Z13" s="1048">
        <f t="shared" si="7"/>
        <v>111</v>
      </c>
      <c r="AA13" s="1383">
        <f t="shared" si="3"/>
        <v>1</v>
      </c>
      <c r="AB13" s="1383">
        <f t="shared" si="4"/>
        <v>1</v>
      </c>
      <c r="AC13" s="1383">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2"/>
      <c r="Q14" s="1049">
        <f t="shared" si="6"/>
        <v>111</v>
      </c>
      <c r="R14" s="1380" t="s">
        <v>5</v>
      </c>
      <c r="S14" s="1381">
        <f t="shared" si="0"/>
        <v>100</v>
      </c>
      <c r="T14" s="1380" t="s">
        <v>5</v>
      </c>
      <c r="U14" s="1381">
        <f t="shared" si="1"/>
        <v>100</v>
      </c>
      <c r="V14" s="1380" t="s">
        <v>5</v>
      </c>
      <c r="W14" s="1381">
        <f t="shared" si="2"/>
        <v>100</v>
      </c>
      <c r="X14" s="1382"/>
      <c r="Y14" s="3846"/>
      <c r="Z14" s="1048">
        <f t="shared" si="7"/>
        <v>111</v>
      </c>
      <c r="AA14" s="1383">
        <f t="shared" si="3"/>
        <v>1</v>
      </c>
      <c r="AB14" s="1383">
        <f t="shared" si="4"/>
        <v>1</v>
      </c>
      <c r="AC14" s="1383">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35" t="s">
        <v>489</v>
      </c>
      <c r="Q15" s="1384" t="str">
        <f t="shared" si="6"/>
        <v>办公集聚程度</v>
      </c>
      <c r="R15" s="1385" t="s">
        <v>5</v>
      </c>
      <c r="S15" s="1386">
        <f t="shared" si="0"/>
        <v>100</v>
      </c>
      <c r="T15" s="1385" t="s">
        <v>5</v>
      </c>
      <c r="U15" s="1386">
        <f t="shared" si="1"/>
        <v>100</v>
      </c>
      <c r="V15" s="1385" t="s">
        <v>5</v>
      </c>
      <c r="W15" s="1386">
        <f t="shared" si="2"/>
        <v>100</v>
      </c>
      <c r="X15" s="1379"/>
      <c r="Y15" s="3935"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36"/>
      <c r="Q16" s="1384"/>
      <c r="R16" s="1385"/>
      <c r="S16" s="1386"/>
      <c r="T16" s="1385"/>
      <c r="U16" s="1386"/>
      <c r="V16" s="1385"/>
      <c r="W16" s="1386"/>
      <c r="X16" s="1379"/>
      <c r="Y16" s="3936"/>
      <c r="Z16" s="1387"/>
      <c r="AA16" s="1388">
        <v>1</v>
      </c>
      <c r="AB16" s="1388">
        <v>1</v>
      </c>
      <c r="AC16" s="1388">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36"/>
      <c r="Q18" s="1384"/>
      <c r="R18" s="1385"/>
      <c r="S18" s="1386"/>
      <c r="T18" s="1385"/>
      <c r="U18" s="1386"/>
      <c r="V18" s="1385"/>
      <c r="W18" s="1386"/>
      <c r="X18" s="1379"/>
      <c r="Y18" s="3936"/>
      <c r="Z18" s="1387"/>
      <c r="AA18" s="1388">
        <v>1</v>
      </c>
      <c r="AB18" s="1388">
        <v>1</v>
      </c>
      <c r="AC18" s="1388">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36"/>
      <c r="Q20" s="1384"/>
      <c r="R20" s="1385"/>
      <c r="S20" s="1386"/>
      <c r="T20" s="1385"/>
      <c r="U20" s="1386"/>
      <c r="V20" s="1385"/>
      <c r="W20" s="1386"/>
      <c r="X20" s="1379"/>
      <c r="Y20" s="3936"/>
      <c r="Z20" s="1387"/>
      <c r="AA20" s="1388">
        <v>1</v>
      </c>
      <c r="AB20" s="1388">
        <v>1</v>
      </c>
      <c r="AC20" s="1388">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36"/>
      <c r="Q22" s="2192"/>
      <c r="R22" s="1385"/>
      <c r="S22" s="1386"/>
      <c r="T22" s="1385"/>
      <c r="U22" s="1386"/>
      <c r="V22" s="1385"/>
      <c r="W22" s="1386"/>
      <c r="X22" s="2194"/>
      <c r="Y22" s="3936"/>
      <c r="Z22" s="2193"/>
      <c r="AA22" s="1388">
        <v>1</v>
      </c>
      <c r="AB22" s="1388">
        <v>1</v>
      </c>
      <c r="AC22" s="1388">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36"/>
      <c r="Q23" s="1384" t="str">
        <f>B23</f>
        <v>环境质量</v>
      </c>
      <c r="R23" s="1385" t="s">
        <v>5</v>
      </c>
      <c r="S23" s="1386">
        <f>F23</f>
        <v>100</v>
      </c>
      <c r="T23" s="1385" t="s">
        <v>5</v>
      </c>
      <c r="U23" s="1386">
        <f>H23</f>
        <v>100</v>
      </c>
      <c r="V23" s="1385" t="s">
        <v>5</v>
      </c>
      <c r="W23" s="1386">
        <f>J23</f>
        <v>100</v>
      </c>
      <c r="X23" s="1379"/>
      <c r="Y23" s="3936"/>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36"/>
      <c r="Q24" s="1384"/>
      <c r="R24" s="1385"/>
      <c r="S24" s="1386"/>
      <c r="T24" s="1385"/>
      <c r="U24" s="1386"/>
      <c r="V24" s="1385"/>
      <c r="W24" s="1386"/>
      <c r="X24" s="1379"/>
      <c r="Y24" s="3936"/>
      <c r="Z24" s="1387"/>
      <c r="AA24" s="1388">
        <v>1</v>
      </c>
      <c r="AB24" s="1388">
        <v>1</v>
      </c>
      <c r="AC24" s="1388">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36"/>
      <c r="Q25" s="1384" t="str">
        <f>B25</f>
        <v>毗邻道路的类型与等级</v>
      </c>
      <c r="R25" s="1385" t="s">
        <v>5</v>
      </c>
      <c r="S25" s="1386">
        <f>F25</f>
        <v>100</v>
      </c>
      <c r="T25" s="1385" t="s">
        <v>5</v>
      </c>
      <c r="U25" s="1386">
        <f>H25</f>
        <v>100</v>
      </c>
      <c r="V25" s="1385" t="s">
        <v>5</v>
      </c>
      <c r="W25" s="1386">
        <f>J25</f>
        <v>100</v>
      </c>
      <c r="X25" s="1379"/>
      <c r="Y25" s="3936"/>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36"/>
      <c r="Q26" s="1384"/>
      <c r="R26" s="1385"/>
      <c r="S26" s="1386"/>
      <c r="T26" s="1385"/>
      <c r="U26" s="1386"/>
      <c r="V26" s="1385"/>
      <c r="W26" s="1386"/>
      <c r="X26" s="1379"/>
      <c r="Y26" s="3936"/>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36"/>
      <c r="Q27" s="1384" t="str">
        <f t="shared" ref="Q27:Q47" si="8">B27</f>
        <v>楼层</v>
      </c>
      <c r="R27" s="1385" t="s">
        <v>5</v>
      </c>
      <c r="S27" s="1386">
        <f>F27</f>
        <v>100</v>
      </c>
      <c r="T27" s="1385" t="s">
        <v>5</v>
      </c>
      <c r="U27" s="1386">
        <f>H27</f>
        <v>100</v>
      </c>
      <c r="V27" s="1385" t="s">
        <v>5</v>
      </c>
      <c r="W27" s="1386">
        <f>J27</f>
        <v>100</v>
      </c>
      <c r="X27" s="1379"/>
      <c r="Y27" s="3936"/>
      <c r="Z27" s="1387" t="str">
        <f>Q27</f>
        <v>楼层</v>
      </c>
      <c r="AA27" s="1388">
        <f t="shared" si="3"/>
        <v>1</v>
      </c>
      <c r="AB27" s="1388">
        <f t="shared" si="4"/>
        <v>1</v>
      </c>
      <c r="AC27" s="1388">
        <f t="shared" si="5"/>
        <v>1</v>
      </c>
    </row>
    <row r="28" spans="1:29" s="1117"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36"/>
      <c r="Q28" s="1049" t="str">
        <f t="shared" si="8"/>
        <v>朝向</v>
      </c>
      <c r="R28" s="1380" t="s">
        <v>5</v>
      </c>
      <c r="S28" s="1381">
        <f>F28</f>
        <v>100</v>
      </c>
      <c r="T28" s="1380" t="s">
        <v>5</v>
      </c>
      <c r="U28" s="1381">
        <f>H28</f>
        <v>100</v>
      </c>
      <c r="V28" s="1380" t="s">
        <v>5</v>
      </c>
      <c r="W28" s="1381">
        <f>J28</f>
        <v>100</v>
      </c>
      <c r="X28" s="1382"/>
      <c r="Y28" s="3936"/>
      <c r="Z28" s="1048"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36"/>
      <c r="Q29" s="1384">
        <f t="shared" si="8"/>
        <v>111</v>
      </c>
      <c r="R29" s="1385" t="s">
        <v>5</v>
      </c>
      <c r="S29" s="1386">
        <f t="shared" ref="S29:S47" si="9">F29</f>
        <v>100</v>
      </c>
      <c r="T29" s="1385" t="s">
        <v>5</v>
      </c>
      <c r="U29" s="1386">
        <f t="shared" ref="U29:U47" si="10">H29</f>
        <v>100</v>
      </c>
      <c r="V29" s="1385" t="s">
        <v>5</v>
      </c>
      <c r="W29" s="1386">
        <f t="shared" ref="W29:W47" si="11">J29</f>
        <v>100</v>
      </c>
      <c r="X29" s="1379"/>
      <c r="Y29" s="3936"/>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36"/>
      <c r="Q30" s="1384">
        <f t="shared" si="8"/>
        <v>111</v>
      </c>
      <c r="R30" s="1385" t="s">
        <v>5</v>
      </c>
      <c r="S30" s="1386">
        <f t="shared" si="9"/>
        <v>100</v>
      </c>
      <c r="T30" s="1385" t="s">
        <v>5</v>
      </c>
      <c r="U30" s="1386">
        <f t="shared" si="10"/>
        <v>100</v>
      </c>
      <c r="V30" s="1385" t="s">
        <v>5</v>
      </c>
      <c r="W30" s="1386">
        <f t="shared" si="11"/>
        <v>100</v>
      </c>
      <c r="X30" s="1379"/>
      <c r="Y30" s="3936"/>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36"/>
      <c r="Q31" s="1384">
        <f t="shared" si="8"/>
        <v>111</v>
      </c>
      <c r="R31" s="1385" t="s">
        <v>5</v>
      </c>
      <c r="S31" s="1386">
        <f t="shared" si="9"/>
        <v>100</v>
      </c>
      <c r="T31" s="1385" t="s">
        <v>5</v>
      </c>
      <c r="U31" s="1386">
        <f t="shared" si="10"/>
        <v>100</v>
      </c>
      <c r="V31" s="1385" t="s">
        <v>5</v>
      </c>
      <c r="W31" s="1386">
        <f t="shared" si="11"/>
        <v>100</v>
      </c>
      <c r="X31" s="1379"/>
      <c r="Y31" s="3936"/>
      <c r="Z31" s="1387">
        <f t="shared" si="12"/>
        <v>111</v>
      </c>
      <c r="AA31" s="1388">
        <f t="shared" si="3"/>
        <v>1</v>
      </c>
      <c r="AB31" s="1388">
        <f t="shared" si="4"/>
        <v>1</v>
      </c>
      <c r="AC31" s="1388">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36"/>
      <c r="Q32" s="1384">
        <f t="shared" si="8"/>
        <v>111</v>
      </c>
      <c r="R32" s="1385" t="s">
        <v>5</v>
      </c>
      <c r="S32" s="1386">
        <f t="shared" si="9"/>
        <v>100</v>
      </c>
      <c r="T32" s="1385" t="s">
        <v>5</v>
      </c>
      <c r="U32" s="1386">
        <f t="shared" si="10"/>
        <v>100</v>
      </c>
      <c r="V32" s="1385" t="s">
        <v>5</v>
      </c>
      <c r="W32" s="1386">
        <f t="shared" si="11"/>
        <v>100</v>
      </c>
      <c r="X32" s="1379"/>
      <c r="Y32" s="3936"/>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37" t="s">
        <v>499</v>
      </c>
      <c r="Q33" s="1384" t="str">
        <f t="shared" si="8"/>
        <v>建筑类型</v>
      </c>
      <c r="R33" s="1385" t="s">
        <v>5</v>
      </c>
      <c r="S33" s="1386">
        <f t="shared" si="9"/>
        <v>100</v>
      </c>
      <c r="T33" s="1385" t="s">
        <v>5</v>
      </c>
      <c r="U33" s="1386">
        <f t="shared" si="10"/>
        <v>100</v>
      </c>
      <c r="V33" s="1385" t="s">
        <v>5</v>
      </c>
      <c r="W33" s="1386">
        <f t="shared" si="11"/>
        <v>100</v>
      </c>
      <c r="X33" s="1379"/>
      <c r="Y33" s="3938"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8"/>
      <c r="Q34" s="1413" t="str">
        <f t="shared" si="8"/>
        <v>项目建筑规模</v>
      </c>
      <c r="R34" s="1389" t="s">
        <v>5</v>
      </c>
      <c r="S34" s="1390" t="e">
        <f t="shared" si="9"/>
        <v>#N/A</v>
      </c>
      <c r="T34" s="1389" t="s">
        <v>5</v>
      </c>
      <c r="U34" s="1390" t="e">
        <f t="shared" si="10"/>
        <v>#N/A</v>
      </c>
      <c r="V34" s="1389" t="s">
        <v>5</v>
      </c>
      <c r="W34" s="1390" t="e">
        <f t="shared" si="11"/>
        <v>#N/A</v>
      </c>
      <c r="X34" s="1391"/>
      <c r="Y34" s="3938"/>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8"/>
      <c r="Q35" s="1384" t="str">
        <f t="shared" si="8"/>
        <v>建筑结构</v>
      </c>
      <c r="R35" s="1385" t="s">
        <v>5</v>
      </c>
      <c r="S35" s="1386">
        <f t="shared" si="9"/>
        <v>100</v>
      </c>
      <c r="T35" s="1385" t="s">
        <v>5</v>
      </c>
      <c r="U35" s="1386">
        <f t="shared" si="10"/>
        <v>100</v>
      </c>
      <c r="V35" s="1385" t="s">
        <v>5</v>
      </c>
      <c r="W35" s="1386">
        <f t="shared" si="11"/>
        <v>100</v>
      </c>
      <c r="X35" s="1379"/>
      <c r="Y35" s="3938"/>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8"/>
      <c r="Q36" s="1384" t="str">
        <f t="shared" si="8"/>
        <v>公共部分装修</v>
      </c>
      <c r="R36" s="1385" t="s">
        <v>5</v>
      </c>
      <c r="S36" s="1386">
        <f t="shared" si="9"/>
        <v>100</v>
      </c>
      <c r="T36" s="1385" t="s">
        <v>5</v>
      </c>
      <c r="U36" s="1386">
        <f t="shared" si="10"/>
        <v>100</v>
      </c>
      <c r="V36" s="1385" t="s">
        <v>5</v>
      </c>
      <c r="W36" s="1386">
        <f t="shared" si="11"/>
        <v>100</v>
      </c>
      <c r="X36" s="1379"/>
      <c r="Y36" s="3938"/>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8"/>
      <c r="Q37" s="1384" t="str">
        <f t="shared" si="8"/>
        <v>成新度</v>
      </c>
      <c r="R37" s="1385" t="s">
        <v>5</v>
      </c>
      <c r="S37" s="1386" t="e">
        <f t="shared" si="9"/>
        <v>#N/A</v>
      </c>
      <c r="T37" s="1385" t="s">
        <v>5</v>
      </c>
      <c r="U37" s="1386" t="e">
        <f t="shared" si="10"/>
        <v>#N/A</v>
      </c>
      <c r="V37" s="1385" t="s">
        <v>5</v>
      </c>
      <c r="W37" s="1386" t="e">
        <f t="shared" si="11"/>
        <v>#N/A</v>
      </c>
      <c r="X37" s="1379"/>
      <c r="Y37" s="3938"/>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8"/>
      <c r="Q38" s="1049" t="str">
        <f t="shared" si="8"/>
        <v>写字楼等级</v>
      </c>
      <c r="R38" s="1380" t="s">
        <v>5</v>
      </c>
      <c r="S38" s="1381">
        <f t="shared" si="9"/>
        <v>100</v>
      </c>
      <c r="T38" s="1380" t="s">
        <v>5</v>
      </c>
      <c r="U38" s="1381">
        <f t="shared" si="10"/>
        <v>100</v>
      </c>
      <c r="V38" s="1380" t="s">
        <v>5</v>
      </c>
      <c r="W38" s="1381">
        <f t="shared" si="11"/>
        <v>100</v>
      </c>
      <c r="X38" s="1382"/>
      <c r="Y38" s="3938"/>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8" t="s">
        <v>499</v>
      </c>
      <c r="Q39" s="1384" t="str">
        <f t="shared" si="8"/>
        <v>物业管理</v>
      </c>
      <c r="R39" s="1385" t="s">
        <v>5</v>
      </c>
      <c r="S39" s="1386">
        <f t="shared" si="9"/>
        <v>100</v>
      </c>
      <c r="T39" s="1385" t="s">
        <v>5</v>
      </c>
      <c r="U39" s="1386">
        <f t="shared" si="10"/>
        <v>100</v>
      </c>
      <c r="V39" s="1385" t="s">
        <v>5</v>
      </c>
      <c r="W39" s="1386">
        <f t="shared" si="11"/>
        <v>100</v>
      </c>
      <c r="X39" s="1379"/>
      <c r="Y39" s="3938"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8"/>
      <c r="Q40" s="1384" t="str">
        <f t="shared" si="8"/>
        <v>市政基础设施</v>
      </c>
      <c r="R40" s="1385" t="s">
        <v>5</v>
      </c>
      <c r="S40" s="1386">
        <f t="shared" si="9"/>
        <v>100</v>
      </c>
      <c r="T40" s="1385" t="s">
        <v>5</v>
      </c>
      <c r="U40" s="1386">
        <f t="shared" si="10"/>
        <v>100</v>
      </c>
      <c r="V40" s="1385" t="s">
        <v>5</v>
      </c>
      <c r="W40" s="1386">
        <f t="shared" si="11"/>
        <v>100</v>
      </c>
      <c r="X40" s="1379"/>
      <c r="Y40" s="3938"/>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8"/>
      <c r="Q41" s="1384" t="str">
        <f t="shared" si="8"/>
        <v>层高</v>
      </c>
      <c r="R41" s="1385" t="s">
        <v>5</v>
      </c>
      <c r="S41" s="1386">
        <f t="shared" si="9"/>
        <v>100</v>
      </c>
      <c r="T41" s="1385" t="s">
        <v>5</v>
      </c>
      <c r="U41" s="1386">
        <f t="shared" si="10"/>
        <v>100</v>
      </c>
      <c r="V41" s="1385" t="s">
        <v>5</v>
      </c>
      <c r="W41" s="1386">
        <f t="shared" si="11"/>
        <v>100</v>
      </c>
      <c r="X41" s="1379"/>
      <c r="Y41" s="3938"/>
      <c r="Z41" s="1387" t="str">
        <f t="shared" si="12"/>
        <v>层高</v>
      </c>
      <c r="AA41" s="1388">
        <f t="shared" si="3"/>
        <v>1</v>
      </c>
      <c r="AB41" s="1388">
        <f t="shared" si="4"/>
        <v>1</v>
      </c>
      <c r="AC41" s="1388">
        <f t="shared" si="5"/>
        <v>1</v>
      </c>
    </row>
    <row r="42" spans="1:29" s="1199"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8"/>
      <c r="Q42" s="1413" t="str">
        <f t="shared" si="8"/>
        <v>单套建筑面积</v>
      </c>
      <c r="R42" s="1389" t="s">
        <v>5</v>
      </c>
      <c r="S42" s="1390">
        <f t="shared" si="9"/>
        <v>100</v>
      </c>
      <c r="T42" s="1389" t="s">
        <v>5</v>
      </c>
      <c r="U42" s="1390">
        <f t="shared" si="10"/>
        <v>100</v>
      </c>
      <c r="V42" s="1389" t="s">
        <v>5</v>
      </c>
      <c r="W42" s="1390">
        <f t="shared" si="11"/>
        <v>100</v>
      </c>
      <c r="X42" s="1391"/>
      <c r="Y42" s="3938"/>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8"/>
      <c r="Q43" s="1384" t="str">
        <f t="shared" si="8"/>
        <v>内部装修</v>
      </c>
      <c r="R43" s="1385" t="s">
        <v>5</v>
      </c>
      <c r="S43" s="1386">
        <f t="shared" si="9"/>
        <v>100</v>
      </c>
      <c r="T43" s="1385" t="s">
        <v>5</v>
      </c>
      <c r="U43" s="1386">
        <f t="shared" si="10"/>
        <v>100</v>
      </c>
      <c r="V43" s="1385" t="s">
        <v>5</v>
      </c>
      <c r="W43" s="1386">
        <f t="shared" si="11"/>
        <v>100</v>
      </c>
      <c r="X43" s="1379"/>
      <c r="Y43" s="3938"/>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8"/>
      <c r="Q44" s="1384" t="str">
        <f t="shared" si="8"/>
        <v>内部装修维护情况</v>
      </c>
      <c r="R44" s="1385" t="s">
        <v>5</v>
      </c>
      <c r="S44" s="1386">
        <f t="shared" si="9"/>
        <v>100</v>
      </c>
      <c r="T44" s="1385" t="s">
        <v>5</v>
      </c>
      <c r="U44" s="1386">
        <f t="shared" si="10"/>
        <v>100</v>
      </c>
      <c r="V44" s="1385" t="s">
        <v>5</v>
      </c>
      <c r="W44" s="1386">
        <f t="shared" si="11"/>
        <v>100</v>
      </c>
      <c r="X44" s="1379"/>
      <c r="Y44" s="3938"/>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8"/>
      <c r="Q45" s="1049">
        <f t="shared" si="8"/>
        <v>111</v>
      </c>
      <c r="R45" s="1380" t="s">
        <v>5</v>
      </c>
      <c r="S45" s="1381">
        <f t="shared" si="9"/>
        <v>100</v>
      </c>
      <c r="T45" s="1380" t="s">
        <v>5</v>
      </c>
      <c r="U45" s="1381">
        <f t="shared" si="10"/>
        <v>100</v>
      </c>
      <c r="V45" s="1380" t="s">
        <v>5</v>
      </c>
      <c r="W45" s="1381">
        <f t="shared" si="11"/>
        <v>100</v>
      </c>
      <c r="X45" s="1382"/>
      <c r="Y45" s="3938"/>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8"/>
      <c r="Q46" s="1384">
        <f t="shared" si="8"/>
        <v>111</v>
      </c>
      <c r="R46" s="1385" t="s">
        <v>5</v>
      </c>
      <c r="S46" s="1386">
        <f t="shared" si="9"/>
        <v>100</v>
      </c>
      <c r="T46" s="1385" t="s">
        <v>5</v>
      </c>
      <c r="U46" s="1386">
        <f t="shared" si="10"/>
        <v>100</v>
      </c>
      <c r="V46" s="1385" t="s">
        <v>5</v>
      </c>
      <c r="W46" s="1386">
        <f t="shared" si="11"/>
        <v>100</v>
      </c>
      <c r="X46" s="1379"/>
      <c r="Y46" s="3938"/>
      <c r="Z46" s="1387">
        <f t="shared" si="12"/>
        <v>111</v>
      </c>
      <c r="AA46" s="1388">
        <f t="shared" si="3"/>
        <v>1</v>
      </c>
      <c r="AB46" s="1388">
        <f t="shared" si="4"/>
        <v>1</v>
      </c>
      <c r="AC46" s="1388">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31"/>
      <c r="Q47" s="1384">
        <f t="shared" si="8"/>
        <v>111</v>
      </c>
      <c r="R47" s="1385" t="s">
        <v>5</v>
      </c>
      <c r="S47" s="1386">
        <f t="shared" si="9"/>
        <v>100</v>
      </c>
      <c r="T47" s="1385" t="s">
        <v>5</v>
      </c>
      <c r="U47" s="1386">
        <f t="shared" si="10"/>
        <v>100</v>
      </c>
      <c r="V47" s="1385" t="s">
        <v>5</v>
      </c>
      <c r="W47" s="1386">
        <f t="shared" si="11"/>
        <v>100</v>
      </c>
      <c r="X47" s="1379"/>
      <c r="Y47" s="4031"/>
      <c r="Z47" s="1387">
        <f t="shared" si="12"/>
        <v>111</v>
      </c>
      <c r="AA47" s="1388">
        <f t="shared" si="3"/>
        <v>1</v>
      </c>
      <c r="AB47" s="1388">
        <f t="shared" si="4"/>
        <v>1</v>
      </c>
      <c r="AC47" s="1388">
        <f t="shared" si="5"/>
        <v>1</v>
      </c>
    </row>
    <row r="48" spans="1:29" ht="14.4">
      <c r="A48" s="577" t="s">
        <v>683</v>
      </c>
      <c r="B48" s="850"/>
      <c r="C48" s="2233" t="s">
        <v>0</v>
      </c>
      <c r="D48" s="2234"/>
      <c r="E48" s="2235"/>
      <c r="F48" s="2236"/>
      <c r="G48" s="2237"/>
      <c r="H48" s="2238"/>
      <c r="I48" s="2235"/>
      <c r="J48" s="2238"/>
      <c r="K48" s="1418"/>
      <c r="L48" s="1866"/>
      <c r="M48" s="1856"/>
      <c r="N48" s="1856"/>
      <c r="O48" s="1856"/>
      <c r="P48" s="3940" t="str">
        <f>A48</f>
        <v>成交单价（元/平方米）</v>
      </c>
      <c r="Q48" s="3902"/>
      <c r="R48" s="4030">
        <f>E48</f>
        <v>0</v>
      </c>
      <c r="S48" s="4030"/>
      <c r="T48" s="4030">
        <f>G48</f>
        <v>0</v>
      </c>
      <c r="U48" s="4030"/>
      <c r="V48" s="4030">
        <f>I48</f>
        <v>0</v>
      </c>
      <c r="W48" s="4030"/>
      <c r="X48" s="1374"/>
      <c r="Y48" s="1393"/>
      <c r="Z48" s="1374"/>
      <c r="AA48" s="1374"/>
      <c r="AB48" s="1374"/>
      <c r="AC48" s="1374"/>
    </row>
    <row r="49" spans="1:29" ht="15" thickBot="1">
      <c r="A49" s="585" t="s">
        <v>2042</v>
      </c>
      <c r="B49" s="851"/>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40" t="str">
        <f>A49</f>
        <v>比较价格（元/平方米）</v>
      </c>
      <c r="Q49" s="3902"/>
      <c r="R49" s="4030" t="e">
        <f>IF(F1="售价",ROUND(PRODUCT(R48,AA7:AA47),0),ROUND(PRODUCT(R48,AA7:AA47),1))</f>
        <v>#DIV/0!</v>
      </c>
      <c r="S49" s="4030"/>
      <c r="T49" s="4030" t="e">
        <f>IF(F1="售价",ROUND(PRODUCT(T48,AB7:AB47),0),ROUND(PRODUCT(T48,AB7:AB47),1))</f>
        <v>#DIV/0!</v>
      </c>
      <c r="U49" s="4030"/>
      <c r="V49" s="4030" t="e">
        <f>IF(F1="售价",ROUND(PRODUCT(V48,AC7:AC47),0),ROUND(PRODUCT(V48,AC7:AC47),1))</f>
        <v>#DIV/0!</v>
      </c>
      <c r="W49" s="4030"/>
      <c r="X49" s="1374"/>
      <c r="Y49" s="1374"/>
      <c r="Z49" s="1374"/>
      <c r="AA49" s="1374"/>
      <c r="AB49" s="1374"/>
      <c r="AC49" s="1374"/>
    </row>
    <row r="50" spans="1:29" ht="15" thickBot="1">
      <c r="A50" s="589" t="s">
        <v>2198</v>
      </c>
      <c r="B50" s="590"/>
      <c r="C50" s="2241" t="e">
        <f>R50</f>
        <v>#DIV/0!</v>
      </c>
      <c r="D50" s="2241"/>
      <c r="E50" s="2241"/>
      <c r="F50" s="2241"/>
      <c r="G50" s="2241"/>
      <c r="H50" s="2241"/>
      <c r="I50" s="2241"/>
      <c r="J50" s="2241"/>
      <c r="K50" s="1419"/>
      <c r="L50" s="1866"/>
      <c r="M50" s="1856"/>
      <c r="N50" s="1856"/>
      <c r="O50" s="1856"/>
      <c r="P50" s="4032" t="str">
        <f>A50</f>
        <v>估价对象XX用房的比较价格（楼面单价，元/平方米）</v>
      </c>
      <c r="Q50" s="3940"/>
      <c r="R50" s="4029" t="e">
        <f>IF(F1="售价",ROUND(IF(D49="简单平均",AVERAGE(R49:V49),R49*F49+T49*H49+V49*J49),0),ROUND(IF(D49="简单平均",AVERAGE(R49:V49),R49*F49+T49*H49+V49*J49),1))</f>
        <v>#DIV/0!</v>
      </c>
      <c r="S50" s="4029"/>
      <c r="T50" s="4029"/>
      <c r="U50" s="4029"/>
      <c r="V50" s="4029"/>
      <c r="W50" s="4029"/>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2024-11</v>
      </c>
      <c r="D59" s="2283">
        <f>EDATE(C59,-1)</f>
        <v>45566</v>
      </c>
      <c r="E59" s="2283">
        <f t="shared" ref="E59:O59" si="13">EDATE(D59,-1)</f>
        <v>45536</v>
      </c>
      <c r="F59" s="2283">
        <f t="shared" si="13"/>
        <v>45505</v>
      </c>
      <c r="G59" s="2283">
        <f t="shared" si="13"/>
        <v>45474</v>
      </c>
      <c r="H59" s="2283">
        <f t="shared" si="13"/>
        <v>45444</v>
      </c>
      <c r="I59" s="2283">
        <f t="shared" si="13"/>
        <v>45413</v>
      </c>
      <c r="J59" s="2283">
        <f t="shared" si="13"/>
        <v>45383</v>
      </c>
      <c r="K59" s="2283">
        <f t="shared" si="13"/>
        <v>45352</v>
      </c>
      <c r="L59" s="2283">
        <f t="shared" si="13"/>
        <v>45323</v>
      </c>
      <c r="M59" s="2283">
        <f t="shared" si="13"/>
        <v>45292</v>
      </c>
      <c r="N59" s="2283">
        <f t="shared" si="13"/>
        <v>45261</v>
      </c>
      <c r="O59" s="2283">
        <f t="shared" si="13"/>
        <v>45231</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4" zoomScale="80" zoomScaleNormal="50" zoomScaleSheetLayoutView="80" workbookViewId="0">
      <selection activeCell="K30" sqref="K30"/>
    </sheetView>
  </sheetViews>
  <sheetFormatPr defaultColWidth="9" defaultRowHeight="13.8"/>
  <cols>
    <col min="1" max="1" width="13.33203125" style="1197" customWidth="1"/>
    <col min="2" max="2" width="15.77734375" style="1197" customWidth="1"/>
    <col min="3" max="3" width="15" style="1197" customWidth="1"/>
    <col min="4" max="4" width="12.21875" style="1197" customWidth="1"/>
    <col min="5" max="5" width="19.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1217</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8" t="s">
        <v>471</v>
      </c>
      <c r="D6" s="3909"/>
      <c r="E6" s="3944" t="s">
        <v>472</v>
      </c>
      <c r="F6" s="3945"/>
      <c r="G6" s="3908" t="s">
        <v>473</v>
      </c>
      <c r="H6" s="3909"/>
      <c r="I6" s="3908" t="s">
        <v>474</v>
      </c>
      <c r="J6" s="3909"/>
      <c r="K6" s="484" t="s">
        <v>475</v>
      </c>
      <c r="L6" s="1855"/>
      <c r="M6" s="1856"/>
      <c r="N6" s="1856"/>
      <c r="O6" s="1856"/>
      <c r="P6" s="3910" t="s">
        <v>476</v>
      </c>
      <c r="Q6" s="3911"/>
      <c r="R6" s="3916" t="s">
        <v>472</v>
      </c>
      <c r="S6" s="3917"/>
      <c r="T6" s="3916" t="s">
        <v>473</v>
      </c>
      <c r="U6" s="3917"/>
      <c r="V6" s="3903" t="s">
        <v>474</v>
      </c>
      <c r="W6" s="3903"/>
      <c r="X6" s="3666"/>
      <c r="Y6" s="3916" t="s">
        <v>476</v>
      </c>
      <c r="Z6" s="3917"/>
      <c r="AA6" s="3905" t="s">
        <v>472</v>
      </c>
      <c r="AB6" s="3906" t="s">
        <v>473</v>
      </c>
      <c r="AC6" s="3905" t="s">
        <v>474</v>
      </c>
    </row>
    <row r="7" spans="1:29">
      <c r="A7" s="485"/>
      <c r="B7" s="486"/>
      <c r="C7" s="3941" t="s">
        <v>3380</v>
      </c>
      <c r="D7" s="3925"/>
      <c r="E7" s="3946" t="str">
        <f>成本案例!B3</f>
        <v xml:space="preserve">顺义区国展预留地剩余地块 土地一级开发项目 </v>
      </c>
      <c r="F7" s="3947"/>
      <c r="G7" s="3924" t="str">
        <f>成本案例!B4</f>
        <v>顺义区仁和镇平各庄村B 地块土地一级开发项目</v>
      </c>
      <c r="H7" s="3925"/>
      <c r="I7" s="3924" t="str">
        <f>成本案例!B6</f>
        <v>顺义区M15号线后沙峪站ABC地块</v>
      </c>
      <c r="J7" s="3925"/>
      <c r="K7" s="484"/>
      <c r="L7" s="1855"/>
      <c r="M7" s="1856"/>
      <c r="N7" s="1856"/>
      <c r="O7" s="1856"/>
      <c r="P7" s="3912"/>
      <c r="Q7" s="3913"/>
      <c r="R7" s="3918"/>
      <c r="S7" s="3919"/>
      <c r="T7" s="3918"/>
      <c r="U7" s="3919"/>
      <c r="V7" s="3903"/>
      <c r="W7" s="3903"/>
      <c r="X7" s="3666"/>
      <c r="Y7" s="3918"/>
      <c r="Z7" s="3919"/>
      <c r="AA7" s="3906"/>
      <c r="AB7" s="3906"/>
      <c r="AC7" s="3906"/>
    </row>
    <row r="8" spans="1:29" ht="15" thickBot="1">
      <c r="A8" s="487"/>
      <c r="B8" s="488"/>
      <c r="C8" s="3922" t="s">
        <v>2196</v>
      </c>
      <c r="D8" s="3923"/>
      <c r="E8" s="3942" t="s">
        <v>2196</v>
      </c>
      <c r="F8" s="3943"/>
      <c r="G8" s="3922" t="s">
        <v>2196</v>
      </c>
      <c r="H8" s="3923"/>
      <c r="I8" s="3922" t="s">
        <v>2196</v>
      </c>
      <c r="J8" s="3923"/>
      <c r="K8" s="484" t="s">
        <v>477</v>
      </c>
      <c r="L8" s="1855"/>
      <c r="M8" s="1856"/>
      <c r="N8" s="1856"/>
      <c r="O8" s="1856"/>
      <c r="P8" s="3914"/>
      <c r="Q8" s="3915"/>
      <c r="R8" s="3918"/>
      <c r="S8" s="3919"/>
      <c r="T8" s="3920"/>
      <c r="U8" s="3921"/>
      <c r="V8" s="3903"/>
      <c r="W8" s="3903"/>
      <c r="X8" s="3666"/>
      <c r="Y8" s="3920"/>
      <c r="Z8" s="3921"/>
      <c r="AA8" s="3907"/>
      <c r="AB8" s="3907"/>
      <c r="AC8" s="3907"/>
    </row>
    <row r="9" spans="1:29" s="1117" customFormat="1" ht="15" thickBot="1">
      <c r="A9" s="2391"/>
      <c r="B9" s="2398" t="s">
        <v>478</v>
      </c>
      <c r="C9" s="489">
        <f>'数据-取费表'!B2</f>
        <v>45597</v>
      </c>
      <c r="D9" s="490">
        <v>100</v>
      </c>
      <c r="E9" s="491">
        <f>成本案例!I3</f>
        <v>44105</v>
      </c>
      <c r="F9" s="492">
        <f>SUMIF(66:66,YEAR(E9)&amp;"-"&amp;INT((MONTH(E9)+2)/3),67:67)</f>
        <v>91.479999999999976</v>
      </c>
      <c r="G9" s="493">
        <f>成本案例!I4</f>
        <v>44652</v>
      </c>
      <c r="H9" s="490">
        <f>SUMIF(66:66,YEAR(G9)&amp;"-"&amp;INT((MONTH(G9)+2)/3),67:67)</f>
        <v>93.1</v>
      </c>
      <c r="I9" s="493">
        <f>成本案例!I6</f>
        <v>44986</v>
      </c>
      <c r="J9" s="490">
        <f>SUMIF(66:66,YEAR(I9)&amp;"-"&amp;INT((MONTH(I9)+2)/3),67:67)</f>
        <v>95.01</v>
      </c>
      <c r="K9" s="494"/>
      <c r="L9" s="1857"/>
      <c r="M9" s="1858"/>
      <c r="N9" s="1858"/>
      <c r="O9" s="1858"/>
      <c r="P9" s="3932" t="s">
        <v>479</v>
      </c>
      <c r="Q9" s="3934"/>
      <c r="R9" s="1380" t="s">
        <v>5</v>
      </c>
      <c r="S9" s="1381">
        <f t="shared" ref="S9:S17" si="0">F9</f>
        <v>91.479999999999976</v>
      </c>
      <c r="T9" s="1380" t="s">
        <v>5</v>
      </c>
      <c r="U9" s="1381">
        <f t="shared" ref="U9:U17" si="1">H9</f>
        <v>93.1</v>
      </c>
      <c r="V9" s="1380" t="s">
        <v>5</v>
      </c>
      <c r="W9" s="1381">
        <f t="shared" ref="W9:W17" si="2">J9</f>
        <v>95.01</v>
      </c>
      <c r="X9" s="1382"/>
      <c r="Y9" s="3932" t="s">
        <v>479</v>
      </c>
      <c r="Z9" s="3933"/>
      <c r="AA9" s="1383">
        <f>D9/F9</f>
        <v>1.0931351114997816</v>
      </c>
      <c r="AB9" s="1383">
        <f>D9/H9</f>
        <v>1.0741138560687433</v>
      </c>
      <c r="AC9" s="1383">
        <f>D9/J9</f>
        <v>1.0525207872855489</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2" t="s">
        <v>482</v>
      </c>
      <c r="Q10" s="3933"/>
      <c r="R10" s="1380" t="s">
        <v>5</v>
      </c>
      <c r="S10" s="1381">
        <f t="shared" si="0"/>
        <v>100</v>
      </c>
      <c r="T10" s="1380" t="s">
        <v>5</v>
      </c>
      <c r="U10" s="1381">
        <f t="shared" si="1"/>
        <v>100</v>
      </c>
      <c r="V10" s="1380" t="s">
        <v>5</v>
      </c>
      <c r="W10" s="1381">
        <f t="shared" si="2"/>
        <v>100</v>
      </c>
      <c r="X10" s="1382"/>
      <c r="Y10" s="3932" t="s">
        <v>482</v>
      </c>
      <c r="Z10" s="3933"/>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2" t="s">
        <v>484</v>
      </c>
      <c r="Q11" s="3663" t="str">
        <f t="shared" ref="Q11:Q17" si="6">B11</f>
        <v>用途</v>
      </c>
      <c r="R11" s="1380" t="s">
        <v>5</v>
      </c>
      <c r="S11" s="1381">
        <f t="shared" si="0"/>
        <v>100</v>
      </c>
      <c r="T11" s="1380" t="s">
        <v>5</v>
      </c>
      <c r="U11" s="1381">
        <f t="shared" si="1"/>
        <v>100</v>
      </c>
      <c r="V11" s="1380" t="s">
        <v>5</v>
      </c>
      <c r="W11" s="1381">
        <f t="shared" si="2"/>
        <v>100</v>
      </c>
      <c r="X11" s="1382"/>
      <c r="Y11" s="3846" t="s">
        <v>485</v>
      </c>
      <c r="Z11" s="3662" t="str">
        <f t="shared" ref="Z11:Z17" si="7">Q11</f>
        <v>用途</v>
      </c>
      <c r="AA11" s="1383">
        <f t="shared" si="3"/>
        <v>1</v>
      </c>
      <c r="AB11" s="1383">
        <f t="shared" si="4"/>
        <v>1</v>
      </c>
      <c r="AC11" s="1383">
        <f t="shared" si="5"/>
        <v>1</v>
      </c>
    </row>
    <row r="12" spans="1:29" s="1198" customFormat="1" ht="28.8">
      <c r="A12" s="2394"/>
      <c r="B12" s="2399" t="s">
        <v>2039</v>
      </c>
      <c r="C12" s="498">
        <v>50</v>
      </c>
      <c r="D12" s="246">
        <v>100</v>
      </c>
      <c r="E12" s="498">
        <v>50</v>
      </c>
      <c r="F12" s="246" t="e">
        <f>ROUND(100/'数据-取费表'!G16,0)</f>
        <v>#DIV/0!</v>
      </c>
      <c r="G12" s="498">
        <v>50</v>
      </c>
      <c r="H12" s="246" t="e">
        <f>ROUND(100/'数据-取费表'!G16,0)</f>
        <v>#DIV/0!</v>
      </c>
      <c r="I12" s="498">
        <v>50</v>
      </c>
      <c r="J12" s="246" t="e">
        <f>ROUND(100/'数据-取费表'!G16,0)</f>
        <v>#DIV/0!</v>
      </c>
      <c r="K12" s="501"/>
      <c r="L12" s="1860"/>
      <c r="M12" s="1899"/>
      <c r="N12" s="1899"/>
      <c r="O12" s="1861"/>
      <c r="P12" s="3902"/>
      <c r="Q12" s="3663" t="str">
        <f t="shared" si="6"/>
        <v>土地使用年限（年）</v>
      </c>
      <c r="R12" s="1380" t="s">
        <v>5</v>
      </c>
      <c r="S12" s="1381" t="e">
        <f t="shared" si="0"/>
        <v>#DIV/0!</v>
      </c>
      <c r="T12" s="1380" t="s">
        <v>5</v>
      </c>
      <c r="U12" s="1381" t="e">
        <f t="shared" si="1"/>
        <v>#DIV/0!</v>
      </c>
      <c r="V12" s="1380" t="s">
        <v>5</v>
      </c>
      <c r="W12" s="1381" t="e">
        <f t="shared" si="2"/>
        <v>#DIV/0!</v>
      </c>
      <c r="X12" s="1382"/>
      <c r="Y12" s="3846"/>
      <c r="Z12" s="3662" t="str">
        <f t="shared" si="7"/>
        <v>土地使用年限（年）</v>
      </c>
      <c r="AA12" s="1383" t="e">
        <f t="shared" si="3"/>
        <v>#DIV/0!</v>
      </c>
      <c r="AB12" s="1383" t="e">
        <f t="shared" si="4"/>
        <v>#DIV/0!</v>
      </c>
      <c r="AC12" s="1383" t="e">
        <f t="shared" si="5"/>
        <v>#DIV/0!</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02"/>
      <c r="Q13" s="3663" t="str">
        <f t="shared" si="6"/>
        <v>容积率</v>
      </c>
      <c r="R13" s="1380" t="s">
        <v>5</v>
      </c>
      <c r="S13" s="1381">
        <f t="shared" si="0"/>
        <v>100</v>
      </c>
      <c r="T13" s="1380" t="s">
        <v>5</v>
      </c>
      <c r="U13" s="1381">
        <f t="shared" si="1"/>
        <v>100</v>
      </c>
      <c r="V13" s="1380" t="s">
        <v>5</v>
      </c>
      <c r="W13" s="1381">
        <f t="shared" si="2"/>
        <v>100</v>
      </c>
      <c r="X13" s="1382"/>
      <c r="Y13" s="3846"/>
      <c r="Z13" s="3662"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2"/>
      <c r="Q14" s="3663">
        <f t="shared" si="6"/>
        <v>111</v>
      </c>
      <c r="R14" s="1380" t="s">
        <v>5</v>
      </c>
      <c r="S14" s="1381">
        <f t="shared" si="0"/>
        <v>100</v>
      </c>
      <c r="T14" s="1380" t="s">
        <v>5</v>
      </c>
      <c r="U14" s="1381">
        <f t="shared" si="1"/>
        <v>100</v>
      </c>
      <c r="V14" s="1380" t="s">
        <v>5</v>
      </c>
      <c r="W14" s="1381">
        <f t="shared" si="2"/>
        <v>100</v>
      </c>
      <c r="X14" s="1382"/>
      <c r="Y14" s="3846"/>
      <c r="Z14" s="3662">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2"/>
      <c r="Q15" s="3663">
        <f t="shared" si="6"/>
        <v>111</v>
      </c>
      <c r="R15" s="1380" t="s">
        <v>5</v>
      </c>
      <c r="S15" s="1381">
        <f t="shared" si="0"/>
        <v>100</v>
      </c>
      <c r="T15" s="1380" t="s">
        <v>5</v>
      </c>
      <c r="U15" s="1381">
        <f t="shared" si="1"/>
        <v>100</v>
      </c>
      <c r="V15" s="1380" t="s">
        <v>5</v>
      </c>
      <c r="W15" s="1381">
        <f t="shared" si="2"/>
        <v>100</v>
      </c>
      <c r="X15" s="1382"/>
      <c r="Y15" s="3846"/>
      <c r="Z15" s="3662">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2"/>
      <c r="Q16" s="3663">
        <f t="shared" si="6"/>
        <v>111</v>
      </c>
      <c r="R16" s="1380" t="s">
        <v>5</v>
      </c>
      <c r="S16" s="1381">
        <f t="shared" si="0"/>
        <v>100</v>
      </c>
      <c r="T16" s="1380" t="s">
        <v>5</v>
      </c>
      <c r="U16" s="1381">
        <f t="shared" si="1"/>
        <v>100</v>
      </c>
      <c r="V16" s="1380" t="s">
        <v>5</v>
      </c>
      <c r="W16" s="1381">
        <f t="shared" si="2"/>
        <v>100</v>
      </c>
      <c r="X16" s="1382"/>
      <c r="Y16" s="3846"/>
      <c r="Z16" s="3662">
        <f t="shared" si="7"/>
        <v>111</v>
      </c>
      <c r="AA16" s="1383">
        <f t="shared" si="3"/>
        <v>1</v>
      </c>
      <c r="AB16" s="1383">
        <f t="shared" si="4"/>
        <v>1</v>
      </c>
      <c r="AC16" s="1383">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5" t="s">
        <v>489</v>
      </c>
      <c r="Q17" s="3664" t="str">
        <f t="shared" si="6"/>
        <v>产业集聚程度</v>
      </c>
      <c r="R17" s="1385" t="s">
        <v>5</v>
      </c>
      <c r="S17" s="1386">
        <f t="shared" si="0"/>
        <v>100</v>
      </c>
      <c r="T17" s="1385" t="s">
        <v>5</v>
      </c>
      <c r="U17" s="1386">
        <f t="shared" si="1"/>
        <v>100</v>
      </c>
      <c r="V17" s="1385" t="s">
        <v>5</v>
      </c>
      <c r="W17" s="1386">
        <f t="shared" si="2"/>
        <v>100</v>
      </c>
      <c r="X17" s="3666"/>
      <c r="Y17" s="3935" t="s">
        <v>489</v>
      </c>
      <c r="Z17" s="3665" t="str">
        <f t="shared" si="7"/>
        <v>产业集聚程度</v>
      </c>
      <c r="AA17" s="3667">
        <f t="shared" si="3"/>
        <v>1</v>
      </c>
      <c r="AB17" s="3667">
        <f t="shared" si="4"/>
        <v>1</v>
      </c>
      <c r="AC17" s="3667">
        <f t="shared" si="5"/>
        <v>1</v>
      </c>
    </row>
    <row r="18" spans="1:29" ht="15">
      <c r="A18" s="502"/>
      <c r="B18" s="832"/>
      <c r="C18" s="546" t="s">
        <v>3383</v>
      </c>
      <c r="D18" s="525"/>
      <c r="E18" s="524" t="s">
        <v>3383</v>
      </c>
      <c r="F18" s="525"/>
      <c r="G18" s="524" t="s">
        <v>3383</v>
      </c>
      <c r="H18" s="529"/>
      <c r="I18" s="524" t="s">
        <v>3383</v>
      </c>
      <c r="J18" s="525"/>
      <c r="K18" s="501"/>
      <c r="L18" s="1864"/>
      <c r="M18" s="1856"/>
      <c r="N18" s="1856"/>
      <c r="O18" s="1863"/>
      <c r="P18" s="3936"/>
      <c r="Q18" s="3664"/>
      <c r="R18" s="1385"/>
      <c r="S18" s="1386"/>
      <c r="T18" s="1385"/>
      <c r="U18" s="1386"/>
      <c r="V18" s="1385"/>
      <c r="W18" s="1386"/>
      <c r="X18" s="3666"/>
      <c r="Y18" s="3936"/>
      <c r="Z18" s="3665"/>
      <c r="AA18" s="3667">
        <v>1</v>
      </c>
      <c r="AB18" s="3667">
        <v>1</v>
      </c>
      <c r="AC18" s="3667">
        <v>1</v>
      </c>
    </row>
    <row r="19" spans="1:29" ht="82.8">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4"/>
      <c r="M19" s="1856"/>
      <c r="N19" s="1856"/>
      <c r="O19" s="1863"/>
      <c r="P19" s="3936"/>
      <c r="Q19" s="3664" t="str">
        <f>B19</f>
        <v>交通便捷度</v>
      </c>
      <c r="R19" s="1385" t="s">
        <v>5</v>
      </c>
      <c r="S19" s="1386">
        <f>F19</f>
        <v>100</v>
      </c>
      <c r="T19" s="1385" t="s">
        <v>5</v>
      </c>
      <c r="U19" s="1386">
        <f>H19</f>
        <v>100</v>
      </c>
      <c r="V19" s="1385" t="s">
        <v>5</v>
      </c>
      <c r="W19" s="1386">
        <f>J19</f>
        <v>100</v>
      </c>
      <c r="X19" s="3666"/>
      <c r="Y19" s="3936"/>
      <c r="Z19" s="3665" t="str">
        <f>Q19</f>
        <v>交通便捷度</v>
      </c>
      <c r="AA19" s="3667">
        <f t="shared" si="3"/>
        <v>1</v>
      </c>
      <c r="AB19" s="3667">
        <f t="shared" si="4"/>
        <v>1</v>
      </c>
      <c r="AC19" s="3667">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6"/>
      <c r="Q20" s="3664"/>
      <c r="R20" s="1385"/>
      <c r="S20" s="1386"/>
      <c r="T20" s="1385"/>
      <c r="U20" s="1386"/>
      <c r="V20" s="1385"/>
      <c r="W20" s="1386"/>
      <c r="X20" s="3666"/>
      <c r="Y20" s="3936"/>
      <c r="Z20" s="3665"/>
      <c r="AA20" s="3667">
        <v>1</v>
      </c>
      <c r="AB20" s="3667">
        <v>1</v>
      </c>
      <c r="AC20" s="3667">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6"/>
      <c r="Q21" s="3664" t="str">
        <f t="shared" ref="Q21:Q35" si="8">B21</f>
        <v>区域土地利用方向</v>
      </c>
      <c r="R21" s="1385" t="s">
        <v>5</v>
      </c>
      <c r="S21" s="1386">
        <f>F21</f>
        <v>100</v>
      </c>
      <c r="T21" s="1385" t="s">
        <v>5</v>
      </c>
      <c r="U21" s="1386">
        <f>H21</f>
        <v>100</v>
      </c>
      <c r="V21" s="1385" t="s">
        <v>5</v>
      </c>
      <c r="W21" s="1386">
        <f>J21</f>
        <v>100</v>
      </c>
      <c r="X21" s="3666"/>
      <c r="Y21" s="3936"/>
      <c r="Z21" s="3665" t="str">
        <f>Q21</f>
        <v>区域土地利用方向</v>
      </c>
      <c r="AA21" s="3667">
        <f t="shared" si="3"/>
        <v>1</v>
      </c>
      <c r="AB21" s="3667">
        <f t="shared" si="4"/>
        <v>1</v>
      </c>
      <c r="AC21" s="3667">
        <f t="shared" si="5"/>
        <v>1</v>
      </c>
    </row>
    <row r="22" spans="1:29" ht="15">
      <c r="A22" s="485"/>
      <c r="B22" s="565"/>
      <c r="C22" s="546" t="s">
        <v>3383</v>
      </c>
      <c r="D22" s="525"/>
      <c r="E22" s="546" t="s">
        <v>3383</v>
      </c>
      <c r="F22" s="527"/>
      <c r="G22" s="546" t="s">
        <v>3383</v>
      </c>
      <c r="H22" s="527"/>
      <c r="I22" s="546" t="s">
        <v>3383</v>
      </c>
      <c r="J22" s="527"/>
      <c r="K22" s="1207"/>
      <c r="L22" s="1864"/>
      <c r="M22" s="1856"/>
      <c r="N22" s="1856"/>
      <c r="O22" s="1863"/>
      <c r="P22" s="3936"/>
      <c r="Q22" s="3664"/>
      <c r="R22" s="1385"/>
      <c r="S22" s="1386"/>
      <c r="T22" s="1385"/>
      <c r="U22" s="1386"/>
      <c r="V22" s="1385"/>
      <c r="W22" s="1386"/>
      <c r="X22" s="3666"/>
      <c r="Y22" s="3936"/>
      <c r="Z22" s="3665"/>
      <c r="AA22" s="3667"/>
      <c r="AB22" s="3667"/>
      <c r="AC22" s="3667"/>
    </row>
    <row r="23" spans="1:29" ht="69">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6"/>
      <c r="Q23" s="3664" t="str">
        <f t="shared" si="8"/>
        <v>环境状况</v>
      </c>
      <c r="R23" s="1385" t="s">
        <v>5</v>
      </c>
      <c r="S23" s="1386">
        <f>F23</f>
        <v>100</v>
      </c>
      <c r="T23" s="1385" t="s">
        <v>5</v>
      </c>
      <c r="U23" s="1386">
        <f>H23</f>
        <v>100</v>
      </c>
      <c r="V23" s="1385" t="s">
        <v>5</v>
      </c>
      <c r="W23" s="1386">
        <f>J23</f>
        <v>100</v>
      </c>
      <c r="X23" s="3666"/>
      <c r="Y23" s="3936"/>
      <c r="Z23" s="3665" t="str">
        <f>Q23</f>
        <v>环境状况</v>
      </c>
      <c r="AA23" s="3667">
        <f t="shared" si="3"/>
        <v>1</v>
      </c>
      <c r="AB23" s="3667">
        <f t="shared" si="4"/>
        <v>1</v>
      </c>
      <c r="AC23" s="3667">
        <f t="shared" si="5"/>
        <v>1</v>
      </c>
    </row>
    <row r="24" spans="1:29" ht="15">
      <c r="A24" s="485"/>
      <c r="B24" s="565"/>
      <c r="C24" s="546" t="s">
        <v>3382</v>
      </c>
      <c r="D24" s="525"/>
      <c r="E24" s="546" t="s">
        <v>3382</v>
      </c>
      <c r="F24" s="525"/>
      <c r="G24" s="546" t="s">
        <v>3382</v>
      </c>
      <c r="H24" s="525"/>
      <c r="I24" s="546" t="s">
        <v>3382</v>
      </c>
      <c r="J24" s="525"/>
      <c r="K24" s="501"/>
      <c r="L24" s="1864"/>
      <c r="M24" s="1856"/>
      <c r="N24" s="1856"/>
      <c r="O24" s="1863"/>
      <c r="P24" s="3936"/>
      <c r="Q24" s="3664"/>
      <c r="R24" s="1385"/>
      <c r="S24" s="1386"/>
      <c r="T24" s="1385"/>
      <c r="U24" s="1386"/>
      <c r="V24" s="1385"/>
      <c r="W24" s="1386"/>
      <c r="X24" s="3666"/>
      <c r="Y24" s="3936"/>
      <c r="Z24" s="3665"/>
      <c r="AA24" s="3667">
        <v>1</v>
      </c>
      <c r="AB24" s="3667">
        <v>1</v>
      </c>
      <c r="AC24" s="3667">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7"/>
      <c r="M25" s="1858"/>
      <c r="N25" s="1858"/>
      <c r="O25" s="1859"/>
      <c r="P25" s="3936"/>
      <c r="Q25" s="3663" t="str">
        <f t="shared" si="8"/>
        <v>公共配套设施</v>
      </c>
      <c r="R25" s="1380" t="s">
        <v>5</v>
      </c>
      <c r="S25" s="1381">
        <f>F25</f>
        <v>100</v>
      </c>
      <c r="T25" s="1380" t="s">
        <v>5</v>
      </c>
      <c r="U25" s="1381">
        <f>H25</f>
        <v>100</v>
      </c>
      <c r="V25" s="1380" t="s">
        <v>5</v>
      </c>
      <c r="W25" s="1381">
        <f>J25</f>
        <v>100</v>
      </c>
      <c r="X25" s="1382"/>
      <c r="Y25" s="3936"/>
      <c r="Z25" s="3662" t="str">
        <f>Q25</f>
        <v>公共配套设施</v>
      </c>
      <c r="AA25" s="3667">
        <f>D25/F25</f>
        <v>1</v>
      </c>
      <c r="AB25" s="3667">
        <f>D25/H25</f>
        <v>1</v>
      </c>
      <c r="AC25" s="3667">
        <f>D25/J25</f>
        <v>1</v>
      </c>
    </row>
    <row r="26" spans="1:29" s="1117" customFormat="1" ht="15">
      <c r="A26" s="547"/>
      <c r="B26" s="565"/>
      <c r="C26" s="546" t="s">
        <v>3382</v>
      </c>
      <c r="D26" s="525"/>
      <c r="E26" s="546" t="s">
        <v>3382</v>
      </c>
      <c r="F26" s="525"/>
      <c r="G26" s="546" t="s">
        <v>3382</v>
      </c>
      <c r="H26" s="525"/>
      <c r="I26" s="546" t="s">
        <v>3382</v>
      </c>
      <c r="J26" s="525"/>
      <c r="K26" s="501"/>
      <c r="L26" s="1857"/>
      <c r="M26" s="1858"/>
      <c r="N26" s="1858"/>
      <c r="O26" s="1859"/>
      <c r="P26" s="3936"/>
      <c r="Q26" s="3663"/>
      <c r="R26" s="1380"/>
      <c r="S26" s="1381"/>
      <c r="T26" s="1380"/>
      <c r="U26" s="1381"/>
      <c r="V26" s="1380"/>
      <c r="W26" s="1381"/>
      <c r="X26" s="1382"/>
      <c r="Y26" s="3936"/>
      <c r="Z26" s="3662"/>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6"/>
      <c r="Q27" s="3663" t="str">
        <f>B27</f>
        <v>基础设施水平</v>
      </c>
      <c r="R27" s="1380" t="s">
        <v>5</v>
      </c>
      <c r="S27" s="1381">
        <f>F27</f>
        <v>100</v>
      </c>
      <c r="T27" s="1380" t="s">
        <v>5</v>
      </c>
      <c r="U27" s="1381">
        <f>H27</f>
        <v>100</v>
      </c>
      <c r="V27" s="1380" t="s">
        <v>5</v>
      </c>
      <c r="W27" s="1381">
        <f>J27</f>
        <v>100</v>
      </c>
      <c r="X27" s="1382"/>
      <c r="Y27" s="3936"/>
      <c r="Z27" s="3662" t="str">
        <f>Q27</f>
        <v>基础设施水平</v>
      </c>
      <c r="AA27" s="3667">
        <f>D27/F27</f>
        <v>1</v>
      </c>
      <c r="AB27" s="3667">
        <f>D27/H27</f>
        <v>1</v>
      </c>
      <c r="AC27" s="3667">
        <f>D27/J27</f>
        <v>1</v>
      </c>
    </row>
    <row r="28" spans="1:29" s="1117" customFormat="1" ht="15">
      <c r="A28" s="547"/>
      <c r="B28" s="565"/>
      <c r="C28" s="2199"/>
      <c r="D28" s="525"/>
      <c r="E28" s="549"/>
      <c r="F28" s="525"/>
      <c r="G28" s="549"/>
      <c r="H28" s="525"/>
      <c r="I28" s="549"/>
      <c r="J28" s="525"/>
      <c r="K28" s="501"/>
      <c r="L28" s="1857"/>
      <c r="M28" s="1858"/>
      <c r="N28" s="1858"/>
      <c r="O28" s="1859"/>
      <c r="P28" s="3936"/>
      <c r="Q28" s="3663"/>
      <c r="R28" s="1380"/>
      <c r="S28" s="1381"/>
      <c r="T28" s="1380"/>
      <c r="U28" s="1381"/>
      <c r="V28" s="1380"/>
      <c r="W28" s="1381"/>
      <c r="X28" s="1382"/>
      <c r="Y28" s="3936"/>
      <c r="Z28" s="3662"/>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6"/>
      <c r="Q29" s="3664" t="str">
        <f t="shared" si="8"/>
        <v>临街状况</v>
      </c>
      <c r="R29" s="1385" t="s">
        <v>5</v>
      </c>
      <c r="S29" s="1386">
        <f t="shared" ref="S29:S42" si="9">F29</f>
        <v>100</v>
      </c>
      <c r="T29" s="1385" t="s">
        <v>5</v>
      </c>
      <c r="U29" s="1386">
        <f t="shared" ref="U29:U42" si="10">H29</f>
        <v>100</v>
      </c>
      <c r="V29" s="1385" t="s">
        <v>5</v>
      </c>
      <c r="W29" s="1386">
        <f t="shared" ref="W29:W42" si="11">J29</f>
        <v>100</v>
      </c>
      <c r="X29" s="3666"/>
      <c r="Y29" s="3936"/>
      <c r="Z29" s="3665" t="str">
        <f t="shared" ref="Z29:Z42" si="12">Q29</f>
        <v>临街状况</v>
      </c>
      <c r="AA29" s="3667">
        <f t="shared" si="3"/>
        <v>1</v>
      </c>
      <c r="AB29" s="3667">
        <f t="shared" si="4"/>
        <v>1</v>
      </c>
      <c r="AC29" s="3667">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6"/>
      <c r="Q30" s="3664" t="str">
        <f t="shared" si="8"/>
        <v>毗邻道路的类型与等级</v>
      </c>
      <c r="R30" s="1385" t="s">
        <v>5</v>
      </c>
      <c r="S30" s="1386">
        <f t="shared" si="9"/>
        <v>100</v>
      </c>
      <c r="T30" s="1385" t="s">
        <v>5</v>
      </c>
      <c r="U30" s="1386">
        <f t="shared" si="10"/>
        <v>100</v>
      </c>
      <c r="V30" s="1385" t="s">
        <v>5</v>
      </c>
      <c r="W30" s="1386">
        <f t="shared" si="11"/>
        <v>100</v>
      </c>
      <c r="X30" s="3666"/>
      <c r="Y30" s="3936"/>
      <c r="Z30" s="3665" t="str">
        <f t="shared" si="12"/>
        <v>毗邻道路的类型与等级</v>
      </c>
      <c r="AA30" s="3667">
        <f t="shared" si="3"/>
        <v>1</v>
      </c>
      <c r="AB30" s="3667">
        <f t="shared" si="4"/>
        <v>1</v>
      </c>
      <c r="AC30" s="3667">
        <f t="shared" si="5"/>
        <v>1</v>
      </c>
    </row>
    <row r="31" spans="1:29" ht="15">
      <c r="A31" s="502"/>
      <c r="B31" s="565"/>
      <c r="C31" s="546"/>
      <c r="D31" s="525"/>
      <c r="E31" s="546"/>
      <c r="F31" s="525"/>
      <c r="G31" s="546"/>
      <c r="H31" s="525"/>
      <c r="I31" s="546"/>
      <c r="J31" s="525"/>
      <c r="K31" s="551"/>
      <c r="L31" s="1864"/>
      <c r="M31" s="1856"/>
      <c r="N31" s="1856"/>
      <c r="O31" s="1863"/>
      <c r="P31" s="3936"/>
      <c r="Q31" s="3664"/>
      <c r="R31" s="1385"/>
      <c r="S31" s="1386"/>
      <c r="T31" s="1385"/>
      <c r="U31" s="1386"/>
      <c r="V31" s="1385"/>
      <c r="W31" s="1386"/>
      <c r="X31" s="3666"/>
      <c r="Y31" s="3936"/>
      <c r="Z31" s="3665"/>
      <c r="AA31" s="3667">
        <v>1</v>
      </c>
      <c r="AB31" s="3667">
        <v>1</v>
      </c>
      <c r="AC31" s="3667">
        <v>1</v>
      </c>
    </row>
    <row r="32" spans="1:29" ht="15">
      <c r="A32" s="502"/>
      <c r="B32" s="497" t="s">
        <v>498</v>
      </c>
      <c r="C32" s="2203"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4"/>
      <c r="M32" s="1856"/>
      <c r="N32" s="1856"/>
      <c r="O32" s="1863"/>
      <c r="P32" s="3936"/>
      <c r="Q32" s="3664" t="str">
        <f t="shared" si="8"/>
        <v>土地级别</v>
      </c>
      <c r="R32" s="1385" t="s">
        <v>5</v>
      </c>
      <c r="S32" s="1386">
        <f t="shared" si="9"/>
        <v>100</v>
      </c>
      <c r="T32" s="1385" t="s">
        <v>5</v>
      </c>
      <c r="U32" s="1386">
        <f t="shared" si="10"/>
        <v>100</v>
      </c>
      <c r="V32" s="1385" t="s">
        <v>5</v>
      </c>
      <c r="W32" s="1386">
        <f t="shared" si="11"/>
        <v>100</v>
      </c>
      <c r="X32" s="3666"/>
      <c r="Y32" s="3936"/>
      <c r="Z32" s="3665" t="str">
        <f t="shared" si="12"/>
        <v>土地级别</v>
      </c>
      <c r="AA32" s="3667">
        <f t="shared" si="3"/>
        <v>1</v>
      </c>
      <c r="AB32" s="3667">
        <f t="shared" si="4"/>
        <v>1</v>
      </c>
      <c r="AC32" s="366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6"/>
      <c r="Q33" s="3664">
        <f t="shared" si="8"/>
        <v>111</v>
      </c>
      <c r="R33" s="1385" t="s">
        <v>5</v>
      </c>
      <c r="S33" s="1386">
        <f t="shared" si="9"/>
        <v>100</v>
      </c>
      <c r="T33" s="1385" t="s">
        <v>5</v>
      </c>
      <c r="U33" s="1386">
        <f t="shared" si="10"/>
        <v>100</v>
      </c>
      <c r="V33" s="1385" t="s">
        <v>5</v>
      </c>
      <c r="W33" s="1386">
        <f t="shared" si="11"/>
        <v>100</v>
      </c>
      <c r="X33" s="3666"/>
      <c r="Y33" s="3936"/>
      <c r="Z33" s="3665">
        <f t="shared" si="12"/>
        <v>111</v>
      </c>
      <c r="AA33" s="3667">
        <f t="shared" si="3"/>
        <v>1</v>
      </c>
      <c r="AB33" s="3667">
        <f t="shared" si="4"/>
        <v>1</v>
      </c>
      <c r="AC33" s="366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7" t="s">
        <v>499</v>
      </c>
      <c r="Q34" s="3664">
        <f t="shared" si="8"/>
        <v>111</v>
      </c>
      <c r="R34" s="1385" t="s">
        <v>5</v>
      </c>
      <c r="S34" s="1386">
        <f t="shared" si="9"/>
        <v>100</v>
      </c>
      <c r="T34" s="1385" t="s">
        <v>5</v>
      </c>
      <c r="U34" s="1386">
        <f t="shared" si="10"/>
        <v>100</v>
      </c>
      <c r="V34" s="1385" t="s">
        <v>5</v>
      </c>
      <c r="W34" s="1386">
        <f t="shared" si="11"/>
        <v>100</v>
      </c>
      <c r="X34" s="3666"/>
      <c r="Y34" s="3938" t="s">
        <v>499</v>
      </c>
      <c r="Z34" s="3665">
        <f t="shared" si="12"/>
        <v>111</v>
      </c>
      <c r="AA34" s="3667">
        <f t="shared" si="3"/>
        <v>1</v>
      </c>
      <c r="AB34" s="3667">
        <f t="shared" si="4"/>
        <v>1</v>
      </c>
      <c r="AC34" s="3667">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8"/>
      <c r="Q35" s="3664">
        <f t="shared" si="8"/>
        <v>111</v>
      </c>
      <c r="R35" s="1389" t="s">
        <v>5</v>
      </c>
      <c r="S35" s="1390">
        <f t="shared" si="9"/>
        <v>100</v>
      </c>
      <c r="T35" s="1389" t="s">
        <v>5</v>
      </c>
      <c r="U35" s="1390">
        <f t="shared" si="10"/>
        <v>100</v>
      </c>
      <c r="V35" s="1389" t="s">
        <v>5</v>
      </c>
      <c r="W35" s="1390">
        <f t="shared" si="11"/>
        <v>100</v>
      </c>
      <c r="X35" s="1391"/>
      <c r="Y35" s="3938"/>
      <c r="Z35" s="1392">
        <f t="shared" si="12"/>
        <v>111</v>
      </c>
      <c r="AA35" s="3667">
        <f t="shared" si="3"/>
        <v>1</v>
      </c>
      <c r="AB35" s="3667">
        <f t="shared" si="4"/>
        <v>1</v>
      </c>
      <c r="AC35" s="3667">
        <f t="shared" si="5"/>
        <v>1</v>
      </c>
    </row>
    <row r="36" spans="1:29" ht="15">
      <c r="A36" s="2386" t="s">
        <v>2037</v>
      </c>
      <c r="B36" s="565" t="s">
        <v>501</v>
      </c>
      <c r="C36" s="566">
        <f>'数据-汇总表'!D19</f>
        <v>76200</v>
      </c>
      <c r="D36" s="567">
        <v>100</v>
      </c>
      <c r="E36" s="566">
        <v>129000</v>
      </c>
      <c r="F36" s="567">
        <f>LOOKUP(E36,109:109,110:110)-LOOKUP(C36,109:109,110:110)+100</f>
        <v>98</v>
      </c>
      <c r="G36" s="566">
        <v>361500</v>
      </c>
      <c r="H36" s="567">
        <f>LOOKUP(G36,109:109,110:110)-LOOKUP(C36,109:109,110:110)+100</f>
        <v>97</v>
      </c>
      <c r="I36" s="568">
        <v>847200</v>
      </c>
      <c r="J36" s="567">
        <f>LOOKUP(I36,109:109,110:110)-LOOKUP(C36,109:109,110:110)+100</f>
        <v>97</v>
      </c>
      <c r="K36" s="551"/>
      <c r="L36" s="1864"/>
      <c r="M36" s="1856"/>
      <c r="N36" s="1856"/>
      <c r="O36" s="1863"/>
      <c r="P36" s="3938"/>
      <c r="Q36" s="3664" t="str">
        <f>B36</f>
        <v>宗地面积</v>
      </c>
      <c r="R36" s="1385" t="s">
        <v>5</v>
      </c>
      <c r="S36" s="1386">
        <f t="shared" si="9"/>
        <v>98</v>
      </c>
      <c r="T36" s="1385" t="s">
        <v>5</v>
      </c>
      <c r="U36" s="1386">
        <f t="shared" si="10"/>
        <v>97</v>
      </c>
      <c r="V36" s="1385" t="s">
        <v>5</v>
      </c>
      <c r="W36" s="1386">
        <f t="shared" si="11"/>
        <v>97</v>
      </c>
      <c r="X36" s="3666"/>
      <c r="Y36" s="3938"/>
      <c r="Z36" s="3665" t="str">
        <f t="shared" si="12"/>
        <v>宗地面积</v>
      </c>
      <c r="AA36" s="3667">
        <f t="shared" si="3"/>
        <v>1.0204081632653061</v>
      </c>
      <c r="AB36" s="3667">
        <f t="shared" si="4"/>
        <v>1.0309278350515463</v>
      </c>
      <c r="AC36" s="3667">
        <f t="shared" si="5"/>
        <v>1.0309278350515463</v>
      </c>
    </row>
    <row r="37" spans="1:29" ht="15">
      <c r="A37" s="564"/>
      <c r="B37" s="497" t="s">
        <v>502</v>
      </c>
      <c r="C37" s="569" t="s">
        <v>3410</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38"/>
      <c r="Q37" s="3664" t="str">
        <f t="shared" ref="Q37:Q42" si="13">B37</f>
        <v>宗地形状</v>
      </c>
      <c r="R37" s="1385" t="s">
        <v>5</v>
      </c>
      <c r="S37" s="1386">
        <f t="shared" si="9"/>
        <v>105</v>
      </c>
      <c r="T37" s="1385" t="s">
        <v>5</v>
      </c>
      <c r="U37" s="1386">
        <f t="shared" si="10"/>
        <v>105</v>
      </c>
      <c r="V37" s="1385" t="s">
        <v>5</v>
      </c>
      <c r="W37" s="1386">
        <f t="shared" si="11"/>
        <v>105</v>
      </c>
      <c r="X37" s="3666"/>
      <c r="Y37" s="3938"/>
      <c r="Z37" s="3665" t="str">
        <f t="shared" si="12"/>
        <v>宗地形状</v>
      </c>
      <c r="AA37" s="3667">
        <f t="shared" si="3"/>
        <v>0.95238095238095233</v>
      </c>
      <c r="AB37" s="3667">
        <f t="shared" si="4"/>
        <v>0.95238095238095233</v>
      </c>
      <c r="AC37" s="3667">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8"/>
      <c r="Q38" s="3664" t="str">
        <f t="shared" si="13"/>
        <v>宗地开发程度</v>
      </c>
      <c r="R38" s="1380" t="s">
        <v>5</v>
      </c>
      <c r="S38" s="1381">
        <f t="shared" si="9"/>
        <v>100</v>
      </c>
      <c r="T38" s="1380" t="s">
        <v>5</v>
      </c>
      <c r="U38" s="1381">
        <f t="shared" si="10"/>
        <v>100</v>
      </c>
      <c r="V38" s="1380" t="s">
        <v>5</v>
      </c>
      <c r="W38" s="1381">
        <f t="shared" si="11"/>
        <v>100</v>
      </c>
      <c r="X38" s="1382"/>
      <c r="Y38" s="3938"/>
      <c r="Z38" s="3662"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8" t="s">
        <v>499</v>
      </c>
      <c r="Q39" s="3664" t="str">
        <f t="shared" si="13"/>
        <v>工程地质条件</v>
      </c>
      <c r="R39" s="1385" t="s">
        <v>5</v>
      </c>
      <c r="S39" s="1386">
        <f t="shared" si="9"/>
        <v>100</v>
      </c>
      <c r="T39" s="1385" t="s">
        <v>5</v>
      </c>
      <c r="U39" s="1386">
        <f t="shared" si="10"/>
        <v>100</v>
      </c>
      <c r="V39" s="1385" t="s">
        <v>5</v>
      </c>
      <c r="W39" s="1386">
        <f t="shared" si="11"/>
        <v>100</v>
      </c>
      <c r="X39" s="3666"/>
      <c r="Y39" s="3938" t="s">
        <v>499</v>
      </c>
      <c r="Z39" s="3665" t="str">
        <f t="shared" si="12"/>
        <v>工程地质条件</v>
      </c>
      <c r="AA39" s="3667">
        <f t="shared" si="3"/>
        <v>1</v>
      </c>
      <c r="AB39" s="3667">
        <f t="shared" si="4"/>
        <v>1</v>
      </c>
      <c r="AC39" s="366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8"/>
      <c r="Q40" s="3664">
        <f t="shared" si="13"/>
        <v>111</v>
      </c>
      <c r="R40" s="1385" t="s">
        <v>5</v>
      </c>
      <c r="S40" s="1386">
        <f t="shared" si="9"/>
        <v>100</v>
      </c>
      <c r="T40" s="1385" t="s">
        <v>5</v>
      </c>
      <c r="U40" s="1386">
        <f t="shared" si="10"/>
        <v>100</v>
      </c>
      <c r="V40" s="1385" t="s">
        <v>5</v>
      </c>
      <c r="W40" s="1386">
        <f t="shared" si="11"/>
        <v>100</v>
      </c>
      <c r="X40" s="3666"/>
      <c r="Y40" s="3938"/>
      <c r="Z40" s="3665">
        <f t="shared" si="12"/>
        <v>111</v>
      </c>
      <c r="AA40" s="3667">
        <f t="shared" si="3"/>
        <v>1</v>
      </c>
      <c r="AB40" s="3667">
        <f t="shared" si="4"/>
        <v>1</v>
      </c>
      <c r="AC40" s="366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8"/>
      <c r="Q41" s="3664">
        <f t="shared" si="13"/>
        <v>111</v>
      </c>
      <c r="R41" s="1385" t="s">
        <v>5</v>
      </c>
      <c r="S41" s="1386">
        <f t="shared" si="9"/>
        <v>100</v>
      </c>
      <c r="T41" s="1385" t="s">
        <v>5</v>
      </c>
      <c r="U41" s="1386">
        <f t="shared" si="10"/>
        <v>100</v>
      </c>
      <c r="V41" s="1385" t="s">
        <v>5</v>
      </c>
      <c r="W41" s="1386">
        <f t="shared" si="11"/>
        <v>100</v>
      </c>
      <c r="X41" s="3666"/>
      <c r="Y41" s="3938"/>
      <c r="Z41" s="3665">
        <f t="shared" si="12"/>
        <v>111</v>
      </c>
      <c r="AA41" s="3667">
        <f t="shared" si="3"/>
        <v>1</v>
      </c>
      <c r="AB41" s="3667">
        <f t="shared" si="4"/>
        <v>1</v>
      </c>
      <c r="AC41" s="3667">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8"/>
      <c r="Q42" s="3664">
        <f t="shared" si="13"/>
        <v>111</v>
      </c>
      <c r="R42" s="1389" t="s">
        <v>5</v>
      </c>
      <c r="S42" s="1390">
        <f t="shared" si="9"/>
        <v>100</v>
      </c>
      <c r="T42" s="1389" t="s">
        <v>5</v>
      </c>
      <c r="U42" s="1390">
        <f t="shared" si="10"/>
        <v>100</v>
      </c>
      <c r="V42" s="1389" t="s">
        <v>5</v>
      </c>
      <c r="W42" s="1390">
        <f t="shared" si="11"/>
        <v>100</v>
      </c>
      <c r="X42" s="1391"/>
      <c r="Y42" s="3938"/>
      <c r="Z42" s="1392">
        <f t="shared" si="12"/>
        <v>111</v>
      </c>
      <c r="AA42" s="3667">
        <f t="shared" si="3"/>
        <v>1</v>
      </c>
      <c r="AB42" s="3667">
        <f t="shared" si="4"/>
        <v>1</v>
      </c>
      <c r="AC42" s="3667">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0"/>
      <c r="L43" s="1866"/>
      <c r="M43" s="1856"/>
      <c r="N43" s="1856"/>
      <c r="O43" s="1867"/>
      <c r="P43" s="3902" t="str">
        <f>A43</f>
        <v>成交单价</v>
      </c>
      <c r="Q43" s="3902"/>
      <c r="R43" s="3903">
        <f>E43</f>
        <v>2838.7</v>
      </c>
      <c r="S43" s="3903"/>
      <c r="T43" s="3903">
        <f>G43</f>
        <v>2453.6</v>
      </c>
      <c r="U43" s="3903"/>
      <c r="V43" s="3903">
        <f>I43</f>
        <v>1589.9</v>
      </c>
      <c r="W43" s="3903"/>
      <c r="X43" s="1374"/>
      <c r="Y43" s="1393"/>
      <c r="Z43" s="1374"/>
      <c r="AA43" s="1374"/>
      <c r="AB43" s="1374"/>
      <c r="AC43" s="1374"/>
    </row>
    <row r="44" spans="1:29" ht="15" thickBot="1">
      <c r="A44" s="585" t="s">
        <v>1975</v>
      </c>
      <c r="B44" s="586"/>
      <c r="C44" s="587" t="e">
        <f>R45</f>
        <v>#DIV/0!</v>
      </c>
      <c r="D44" s="2756" t="s">
        <v>2261</v>
      </c>
      <c r="E44" s="587" t="e">
        <f>R44</f>
        <v>#DIV/0!</v>
      </c>
      <c r="F44" s="2757"/>
      <c r="G44" s="588" t="e">
        <f>T44</f>
        <v>#DIV/0!</v>
      </c>
      <c r="H44" s="2757"/>
      <c r="I44" s="587" t="e">
        <f>V44</f>
        <v>#DIV/0!</v>
      </c>
      <c r="J44" s="2757"/>
      <c r="K44" s="2758">
        <f>F44+H44+J44</f>
        <v>0</v>
      </c>
      <c r="L44" s="1866"/>
      <c r="M44" s="1856"/>
      <c r="N44" s="1856"/>
      <c r="O44" s="1867"/>
      <c r="P44" s="3902" t="str">
        <f>A44</f>
        <v>比较价格（元/平方米）</v>
      </c>
      <c r="Q44" s="3902"/>
      <c r="R44" s="3904" t="e">
        <f>ROUND(PRODUCT(R43,AA9:AA42),0)</f>
        <v>#DIV/0!</v>
      </c>
      <c r="S44" s="3904"/>
      <c r="T44" s="3904" t="e">
        <f>ROUND(PRODUCT(T43,AB9:AB42),0)</f>
        <v>#DIV/0!</v>
      </c>
      <c r="U44" s="3904"/>
      <c r="V44" s="3904" t="e">
        <f>ROUND(PRODUCT(V43,AC9:AC42),0)</f>
        <v>#DIV/0!</v>
      </c>
      <c r="W44" s="3904"/>
      <c r="X44" s="1374"/>
      <c r="Y44" s="1374"/>
      <c r="Z44" s="1374"/>
      <c r="AA44" s="1374"/>
      <c r="AB44" s="1374"/>
      <c r="AC44" s="1374"/>
    </row>
    <row r="45" spans="1:29" ht="15" thickBot="1">
      <c r="A45" s="589" t="s">
        <v>2198</v>
      </c>
      <c r="B45" s="590"/>
      <c r="C45" s="591" t="e">
        <f>R45</f>
        <v>#DIV/0!</v>
      </c>
      <c r="D45" s="591"/>
      <c r="E45" s="591"/>
      <c r="F45" s="591"/>
      <c r="G45" s="591"/>
      <c r="H45" s="591"/>
      <c r="I45" s="591"/>
      <c r="J45" s="591"/>
      <c r="K45" s="1201"/>
      <c r="L45" s="1866"/>
      <c r="M45" s="1856"/>
      <c r="N45" s="1856"/>
      <c r="O45" s="1867"/>
      <c r="P45" s="3939" t="str">
        <f>A45</f>
        <v>估价对象XX用房的比较价格（楼面单价，元/平方米）</v>
      </c>
      <c r="Q45" s="3940"/>
      <c r="R45" s="3952" t="e">
        <f>ROUND(IF(D44="简单平均",AVERAGE(R44:W44),R44*F44+T44*H44+V44*J44),0)</f>
        <v>#DIV/0!</v>
      </c>
      <c r="S45" s="3952"/>
      <c r="T45" s="3952"/>
      <c r="U45" s="3952"/>
      <c r="V45" s="3952"/>
      <c r="W45" s="3952"/>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8" t="s">
        <v>1642</v>
      </c>
      <c r="H52" s="3949"/>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t="e">
        <f>C45</f>
        <v>#DIV/0!</v>
      </c>
      <c r="C53" s="603">
        <v>1</v>
      </c>
      <c r="D53" s="1946">
        <v>1</v>
      </c>
      <c r="E53" s="603">
        <f>'数据-汇总表'!E8+'数据-汇总表'!E9</f>
        <v>76200</v>
      </c>
      <c r="F53" s="1705" t="e">
        <f t="shared" ref="F53:F61" si="14">ROUND(B53*E53/10000,0)</f>
        <v>#DIV/0!</v>
      </c>
      <c r="G53" s="3950"/>
      <c r="H53" s="3951"/>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t="e">
        <f>ROUND($C$45*C54*D54,0)</f>
        <v>#DIV/0!</v>
      </c>
      <c r="C54" s="365">
        <f t="shared" ref="C54:C61" si="15">IF($C$52="北京市系数",I54,J54)</f>
        <v>0</v>
      </c>
      <c r="D54" s="1947">
        <v>0.25</v>
      </c>
      <c r="E54" s="607"/>
      <c r="F54" s="1705" t="e">
        <f t="shared" si="14"/>
        <v>#DIV/0!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t="e">
        <f t="shared" ref="B55:B61" si="16">ROUND($C$45*C55*D55,0)</f>
        <v>#DIV/0!</v>
      </c>
      <c r="C55" s="365">
        <f t="shared" si="15"/>
        <v>0</v>
      </c>
      <c r="D55" s="1947">
        <v>0.25</v>
      </c>
      <c r="E55" s="607"/>
      <c r="F55" s="1705" t="e">
        <f t="shared" si="14"/>
        <v>#DIV/0!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t="e">
        <f t="shared" si="16"/>
        <v>#DIV/0!</v>
      </c>
      <c r="C56" s="365">
        <f t="shared" si="15"/>
        <v>0</v>
      </c>
      <c r="D56" s="1947">
        <v>0.25</v>
      </c>
      <c r="E56" s="607"/>
      <c r="F56" s="1705" t="e">
        <f t="shared" si="14"/>
        <v>#DIV/0!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t="e">
        <f t="shared" si="16"/>
        <v>#DIV/0!</v>
      </c>
      <c r="C57" s="365">
        <f t="shared" si="15"/>
        <v>0</v>
      </c>
      <c r="D57" s="1947">
        <v>0.25</v>
      </c>
      <c r="E57" s="609">
        <f>'数据-汇总表'!E11</f>
        <v>0</v>
      </c>
      <c r="F57" s="1705" t="e">
        <f t="shared" si="14"/>
        <v>#DIV/0!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t="e">
        <f t="shared" si="16"/>
        <v>#DIV/0!</v>
      </c>
      <c r="C58" s="365">
        <f t="shared" si="15"/>
        <v>0</v>
      </c>
      <c r="D58" s="1947">
        <v>0.25</v>
      </c>
      <c r="E58" s="609">
        <f>'数据-汇总表'!E12</f>
        <v>0</v>
      </c>
      <c r="F58" s="1705" t="e">
        <f t="shared" si="14"/>
        <v>#DIV/0!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t="e">
        <f t="shared" si="16"/>
        <v>#DIV/0!</v>
      </c>
      <c r="C59" s="365">
        <f t="shared" si="15"/>
        <v>0</v>
      </c>
      <c r="D59" s="1947">
        <v>0.25</v>
      </c>
      <c r="E59" s="609">
        <f>'数据-汇总表'!E13</f>
        <v>0</v>
      </c>
      <c r="F59" s="1705" t="e">
        <f t="shared" si="14"/>
        <v>#DIV/0!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t="e">
        <f t="shared" si="16"/>
        <v>#DIV/0!</v>
      </c>
      <c r="C60" s="365">
        <f t="shared" si="15"/>
        <v>0</v>
      </c>
      <c r="D60" s="1947">
        <v>0.25</v>
      </c>
      <c r="E60" s="609">
        <f>'数据-汇总表'!E14</f>
        <v>0</v>
      </c>
      <c r="F60" s="1705" t="e">
        <f t="shared" si="14"/>
        <v>#DIV/0!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t="e">
        <f t="shared" si="16"/>
        <v>#DIV/0!</v>
      </c>
      <c r="C61" s="365">
        <f t="shared" si="15"/>
        <v>0</v>
      </c>
      <c r="D61" s="1947">
        <v>0.25</v>
      </c>
      <c r="E61" s="609">
        <f>'数据-汇总表'!E15</f>
        <v>0</v>
      </c>
      <c r="F61" s="1705" t="e">
        <f t="shared" si="14"/>
        <v>#DIV/0!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80"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5"/>
      <c r="AB67" s="1745"/>
      <c r="AC67" s="1745"/>
    </row>
    <row r="68" spans="1:29" s="1117" customFormat="1" ht="15" thickBot="1">
      <c r="A68" s="621" t="s">
        <v>523</v>
      </c>
      <c r="B68" s="622"/>
      <c r="C68" s="3709">
        <v>0.61</v>
      </c>
      <c r="D68" s="3715">
        <v>0.43</v>
      </c>
      <c r="E68" s="3716">
        <v>0.71</v>
      </c>
      <c r="F68" s="3716">
        <v>0.5</v>
      </c>
      <c r="G68" s="3716">
        <v>0.53</v>
      </c>
      <c r="H68" s="3716">
        <v>0.63</v>
      </c>
      <c r="I68" s="3716">
        <v>1.08</v>
      </c>
      <c r="J68" s="3716">
        <v>0.64</v>
      </c>
      <c r="K68" s="3716">
        <v>0.55000000000000004</v>
      </c>
      <c r="L68" s="3716">
        <v>0.48</v>
      </c>
      <c r="M68" s="3716">
        <v>1.01</v>
      </c>
      <c r="N68" s="3716">
        <v>0.36</v>
      </c>
      <c r="O68" s="3716">
        <v>2.69</v>
      </c>
      <c r="P68" s="3717"/>
      <c r="Q68" s="3717"/>
      <c r="R68" s="3718"/>
      <c r="S68" s="3718"/>
      <c r="T68" s="3718"/>
      <c r="U68" s="3718"/>
      <c r="V68" s="3718"/>
      <c r="W68" s="3718"/>
      <c r="X68" s="3718"/>
      <c r="Y68" s="3718"/>
      <c r="Z68" s="3718"/>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98</v>
      </c>
      <c r="E87" s="647">
        <f>D87-$K19</f>
        <v>96</v>
      </c>
      <c r="F87" s="647">
        <f>E87-$K19</f>
        <v>94</v>
      </c>
      <c r="G87" s="647">
        <f>F87-$K19</f>
        <v>92</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99</v>
      </c>
      <c r="E93" s="647">
        <f>D93-$K25</f>
        <v>98</v>
      </c>
      <c r="F93" s="647">
        <f>E93-$K25</f>
        <v>97</v>
      </c>
      <c r="G93" s="647">
        <f>F93-$K25</f>
        <v>96</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1832</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3405</v>
      </c>
      <c r="D100" s="3704" t="s">
        <v>3357</v>
      </c>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120000(含)-150000</v>
      </c>
      <c r="H108" s="672" t="str">
        <f t="shared" si="26"/>
        <v>150000(含)-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v>150000</v>
      </c>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99</v>
      </c>
      <c r="E110" s="694">
        <v>98</v>
      </c>
      <c r="F110" s="694">
        <v>97</v>
      </c>
      <c r="G110" s="694">
        <v>96</v>
      </c>
      <c r="H110" s="694">
        <v>95</v>
      </c>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3412</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I19" sqref="I19"/>
    </sheetView>
  </sheetViews>
  <sheetFormatPr defaultColWidth="9" defaultRowHeight="14.4"/>
  <cols>
    <col min="1" max="1" width="9" style="3279"/>
    <col min="2" max="2" width="40.77734375" style="3279" customWidth="1"/>
    <col min="3" max="3" width="9" style="3690"/>
    <col min="4" max="8" width="9" style="3279"/>
    <col min="9" max="9" width="11.33203125" style="3279" bestFit="1" customWidth="1"/>
    <col min="10" max="16384" width="9" style="3279"/>
  </cols>
  <sheetData>
    <row r="1" spans="1:16">
      <c r="A1" s="4037" t="s">
        <v>3268</v>
      </c>
      <c r="B1" s="4037" t="s">
        <v>2146</v>
      </c>
      <c r="C1" s="4037" t="s">
        <v>3269</v>
      </c>
      <c r="D1" s="3668" t="s">
        <v>3270</v>
      </c>
      <c r="E1" s="3669"/>
      <c r="F1" s="4038" t="s">
        <v>3271</v>
      </c>
      <c r="G1" s="4038"/>
      <c r="H1" s="4039" t="s">
        <v>3272</v>
      </c>
      <c r="I1" s="4037" t="s">
        <v>3273</v>
      </c>
      <c r="J1" s="4036" t="s">
        <v>3274</v>
      </c>
      <c r="K1" s="4036" t="s">
        <v>3275</v>
      </c>
    </row>
    <row r="2" spans="1:16" s="3672" customFormat="1" ht="86.4">
      <c r="A2" s="4037"/>
      <c r="B2" s="4037"/>
      <c r="C2" s="4037"/>
      <c r="D2" s="3670" t="str">
        <f>[3]顺义土地案例!K2</f>
        <v>总用地面积（公顷）</v>
      </c>
      <c r="E2" s="3670" t="str">
        <f>[3]顺义土地案例!O2</f>
        <v>建设用地面积（公顷）</v>
      </c>
      <c r="F2" s="3671" t="str">
        <f>[3]顺义土地案例!R2</f>
        <v>征地补偿及相关税费</v>
      </c>
      <c r="G2" s="3671" t="str">
        <f>[3]顺义土地案例!S2</f>
        <v>收购补偿费、房屋征收（拆迁）补偿费及相关费用</v>
      </c>
      <c r="H2" s="4040"/>
      <c r="I2" s="4037"/>
      <c r="J2" s="4036"/>
      <c r="K2" s="4036"/>
    </row>
    <row r="3" spans="1:16" s="3677" customFormat="1">
      <c r="A3" s="3673">
        <v>1</v>
      </c>
      <c r="B3" s="3673" t="str">
        <f>[3]顺义土地案例!F14</f>
        <v xml:space="preserve">顺义区国展预留地剩余地块 土地一级开发项目 </v>
      </c>
      <c r="C3" s="3674" t="s">
        <v>3276</v>
      </c>
      <c r="D3" s="3673">
        <f>[3]顺义土地案例!K14</f>
        <v>12.9</v>
      </c>
      <c r="E3" s="3673">
        <f>[3]顺义土地案例!O14</f>
        <v>10.44</v>
      </c>
      <c r="F3" s="3673">
        <f>[3]顺义土地案例!R14</f>
        <v>5061.88</v>
      </c>
      <c r="G3" s="3673">
        <f>[3]顺义土地案例!S14</f>
        <v>31557.84</v>
      </c>
      <c r="H3" s="3675">
        <f>[3]顺义土地案例!AD14</f>
        <v>0</v>
      </c>
      <c r="I3" s="3710">
        <v>44105</v>
      </c>
      <c r="J3" s="3676">
        <f>ROUND((F3+G3)/D3,1)</f>
        <v>2838.7</v>
      </c>
      <c r="K3" s="3676">
        <f>ROUND(J3*P24*P23*P22*P21*P20*P19*P18*P17*P16*P15*P14,1)</f>
        <v>3041.4</v>
      </c>
    </row>
    <row r="4" spans="1:16" s="3677" customFormat="1">
      <c r="A4" s="3673">
        <v>2</v>
      </c>
      <c r="B4" s="3673" t="str">
        <f>[3]顺义土地案例!F20</f>
        <v>顺义区仁和镇平各庄村B 地块土地一级开发项目</v>
      </c>
      <c r="C4" s="3674" t="s">
        <v>3277</v>
      </c>
      <c r="D4" s="3673">
        <f>[3]顺义土地案例!K20</f>
        <v>36.15</v>
      </c>
      <c r="E4" s="3673">
        <f>[3]顺义土地案例!O20</f>
        <v>16.55</v>
      </c>
      <c r="F4" s="3673">
        <f>[3]顺义土地案例!R20</f>
        <v>41086.400000000001</v>
      </c>
      <c r="G4" s="3673">
        <f>[3]顺义土地案例!S20</f>
        <v>47612.92</v>
      </c>
      <c r="H4" s="3675">
        <f>[3]顺义土地案例!AD20</f>
        <v>0.13029387526745143</v>
      </c>
      <c r="I4" s="3710">
        <v>44652</v>
      </c>
      <c r="J4" s="3676">
        <f>ROUND((F4+G4)/D4,1)</f>
        <v>2453.6</v>
      </c>
      <c r="K4" s="3676">
        <f>ROUND(J4*P15*P18*P17*P16*P14,1)</f>
        <v>2523.1</v>
      </c>
    </row>
    <row r="5" spans="1:16" s="3682" customFormat="1">
      <c r="A5" s="3678">
        <v>3</v>
      </c>
      <c r="B5" s="3678" t="str">
        <f>[3]顺义土地案例!F9</f>
        <v>顺义区M15号线顺西路-府前街站土地一级开发项目</v>
      </c>
      <c r="C5" s="3679" t="s">
        <v>3278</v>
      </c>
      <c r="D5" s="3678">
        <f>[3]顺义土地案例!K9</f>
        <v>151.51</v>
      </c>
      <c r="E5" s="3678">
        <f>[3]顺义土地案例!O9</f>
        <v>103.45</v>
      </c>
      <c r="F5" s="3678">
        <f>[3]顺义土地案例!R9</f>
        <v>78200.91</v>
      </c>
      <c r="G5" s="3678">
        <f>[3]顺义土地案例!S9</f>
        <v>971721.13</v>
      </c>
      <c r="H5" s="3680">
        <f>[3]顺义土地案例!AD9</f>
        <v>0.16022459096076208</v>
      </c>
      <c r="I5" s="3711">
        <v>44713</v>
      </c>
      <c r="J5" s="3681">
        <f>ROUND((F5+G5)/D5,1)</f>
        <v>6929.7</v>
      </c>
      <c r="K5" s="3681">
        <f>ROUND(J5*P15*P18*P17*P16*P14,1)</f>
        <v>7125.9</v>
      </c>
    </row>
    <row r="6" spans="1:16" s="3687" customFormat="1">
      <c r="A6" s="3683">
        <v>4</v>
      </c>
      <c r="B6" s="3683" t="str">
        <f>[3]顺义土地案例!F17</f>
        <v>顺义区M15号线后沙峪站ABC地块</v>
      </c>
      <c r="C6" s="3684" t="s">
        <v>3277</v>
      </c>
      <c r="D6" s="3683">
        <f>[3]顺义土地案例!K17</f>
        <v>84.72</v>
      </c>
      <c r="E6" s="3683">
        <f>[3]顺义土地案例!O17</f>
        <v>44.73</v>
      </c>
      <c r="F6" s="3683">
        <f>[3]顺义土地案例!R17</f>
        <v>36436.78</v>
      </c>
      <c r="G6" s="3683">
        <f>[3]顺义土地案例!S17</f>
        <v>98258.5</v>
      </c>
      <c r="H6" s="3685">
        <f>[3]顺义土地案例!AD17</f>
        <v>0.18007912877011065</v>
      </c>
      <c r="I6" s="3712">
        <v>44986</v>
      </c>
      <c r="J6" s="3686">
        <f>ROUND((F6+G6)/D6,1)</f>
        <v>1589.9</v>
      </c>
      <c r="K6" s="3686">
        <f>ROUND(J6*P15*P14,1)</f>
        <v>1608.1</v>
      </c>
    </row>
    <row r="7" spans="1:16" s="3682" customFormat="1">
      <c r="A7" s="3678">
        <v>5</v>
      </c>
      <c r="B7" s="3678" t="str">
        <f>[3]顺义土地案例!F16</f>
        <v>顺义区后沙峪镇后沙峪村A地块</v>
      </c>
      <c r="C7" s="3679" t="s">
        <v>3276</v>
      </c>
      <c r="D7" s="3678">
        <f>[3]顺义土地案例!K16</f>
        <v>29.09</v>
      </c>
      <c r="E7" s="3678">
        <f>[3]顺义土地案例!O16</f>
        <v>21.819299999999998</v>
      </c>
      <c r="F7" s="3678">
        <f>[3]顺义土地案例!R16</f>
        <v>12773.36</v>
      </c>
      <c r="G7" s="3678">
        <f>[3]顺义土地案例!S16</f>
        <v>207435.6</v>
      </c>
      <c r="H7" s="3680">
        <f>[3]顺义土地案例!AD16</f>
        <v>0.17435965912139925</v>
      </c>
      <c r="I7" s="3711">
        <v>44986</v>
      </c>
      <c r="J7" s="3681">
        <f>ROUND((F7+G7)/D7,1)</f>
        <v>7569.9</v>
      </c>
      <c r="K7" s="3681">
        <f>ROUND(J7*P15*P14,1)</f>
        <v>7656.4</v>
      </c>
    </row>
    <row r="8" spans="1:16">
      <c r="A8" s="3669">
        <v>6</v>
      </c>
      <c r="B8" s="3669" t="str">
        <f>[3]顺义土地案例!F3</f>
        <v xml:space="preserve">北京天竺综合保税区保税功能二区工业用地项目
</v>
      </c>
      <c r="C8" s="3688" t="s">
        <v>3279</v>
      </c>
      <c r="D8" s="3669">
        <f>[3]顺义土地案例!K3</f>
        <v>177.34</v>
      </c>
      <c r="E8" s="3669">
        <f>[3]顺义土地案例!O3</f>
        <v>78.44</v>
      </c>
      <c r="F8" s="3669">
        <f>[3]顺义土地案例!R3</f>
        <v>28969.83</v>
      </c>
      <c r="G8" s="3669">
        <f>[3]顺义土地案例!S3</f>
        <v>98344.44</v>
      </c>
      <c r="H8" s="3689">
        <f>[3]顺义土地案例!AD3</f>
        <v>0.21245034300755861</v>
      </c>
      <c r="I8" s="3713">
        <v>44866</v>
      </c>
      <c r="J8" s="3690">
        <f t="shared" ref="J8:J12" si="0">ROUND((F8+G8)/D8,1)</f>
        <v>717.9</v>
      </c>
      <c r="K8" s="3690">
        <f>ROUND(J8*P15*P16*P14,1)</f>
        <v>729.7</v>
      </c>
    </row>
    <row r="9" spans="1:16">
      <c r="A9" s="3669">
        <v>7</v>
      </c>
      <c r="B9" s="3669" t="str">
        <f>[3]顺义土地案例!F4</f>
        <v xml:space="preserve">中关村临空国际高新技术产业基地工业用地
</v>
      </c>
      <c r="C9" s="3688" t="s">
        <v>3277</v>
      </c>
      <c r="D9" s="3669">
        <f>[3]顺义土地案例!K4</f>
        <v>113.57</v>
      </c>
      <c r="E9" s="3669">
        <f>[3]顺义土地案例!O4</f>
        <v>83.53</v>
      </c>
      <c r="F9" s="3669">
        <f>[3]顺义土地案例!R4</f>
        <v>23802.01</v>
      </c>
      <c r="G9" s="3669">
        <f>[3]顺义土地案例!S4</f>
        <v>50480.46</v>
      </c>
      <c r="H9" s="3689">
        <f>[3]顺义土地案例!AD4</f>
        <v>0.12997069134445727</v>
      </c>
      <c r="I9" s="3713">
        <v>44621</v>
      </c>
      <c r="J9" s="3690">
        <f t="shared" si="0"/>
        <v>654.1</v>
      </c>
      <c r="K9" s="3690">
        <f>ROUND(J9*P19*P15*P18*P17*P16*P14,1)</f>
        <v>679.9</v>
      </c>
    </row>
    <row r="10" spans="1:16">
      <c r="A10" s="3669">
        <v>8</v>
      </c>
      <c r="B10" s="3669" t="str">
        <f>[3]顺义土地案例!F5</f>
        <v xml:space="preserve">北京市顺义区空港木林高端制造业基地一期工业用地项目
</v>
      </c>
      <c r="C10" s="3688" t="s">
        <v>3277</v>
      </c>
      <c r="D10" s="3669">
        <f>[3]顺义土地案例!K5</f>
        <v>17.36</v>
      </c>
      <c r="E10" s="3669">
        <f>[3]顺义土地案例!O5</f>
        <v>13.09</v>
      </c>
      <c r="F10" s="3669">
        <f>[3]顺义土地案例!R5</f>
        <v>3173.01</v>
      </c>
      <c r="G10" s="3669">
        <f>[3]顺义土地案例!S5</f>
        <v>644.98</v>
      </c>
      <c r="H10" s="3689">
        <f>[3]顺义土地案例!AD5</f>
        <v>0.23078699879459832</v>
      </c>
      <c r="I10" s="3713">
        <v>44562</v>
      </c>
      <c r="J10" s="3690">
        <f t="shared" si="0"/>
        <v>219.9</v>
      </c>
      <c r="K10" s="3690">
        <f>ROUND(J10*P19*P15*P18*P17*P16*P14,1)</f>
        <v>228.6</v>
      </c>
    </row>
    <row r="11" spans="1:16">
      <c r="A11" s="3669">
        <v>9</v>
      </c>
      <c r="B11" s="3669" t="str">
        <f>[3]顺义土地案例!F6</f>
        <v>顺义新城30街区控规范围内剩余工业用地土地一级开发项目（30-27-02地块）</v>
      </c>
      <c r="C11" s="3688" t="s">
        <v>3277</v>
      </c>
      <c r="D11" s="3669">
        <f>[3]顺义土地案例!K6</f>
        <v>56.75</v>
      </c>
      <c r="E11" s="3669">
        <f>[3]顺义土地案例!O6</f>
        <v>38.92</v>
      </c>
      <c r="F11" s="3669">
        <f>[3]顺义土地案例!R6</f>
        <v>11601.87</v>
      </c>
      <c r="G11" s="3669">
        <f>[3]顺义土地案例!S6</f>
        <v>4320.93</v>
      </c>
      <c r="H11" s="3689">
        <f>[3]顺义土地案例!AD6</f>
        <v>2.9173718916180459E-2</v>
      </c>
      <c r="I11" s="3713">
        <v>44621</v>
      </c>
      <c r="J11" s="3690">
        <f t="shared" si="0"/>
        <v>280.60000000000002</v>
      </c>
      <c r="K11" s="3690">
        <f>ROUND(J11*P14*P16*P19*P18*P17*P15,1)</f>
        <v>291.7</v>
      </c>
    </row>
    <row r="12" spans="1:16">
      <c r="A12" s="3669">
        <v>10</v>
      </c>
      <c r="B12" s="3669" t="str">
        <f>[3]顺义土地案例!F18</f>
        <v>顺义区薛大人庄村剩余1、2号地块</v>
      </c>
      <c r="C12" s="3688" t="s">
        <v>3277</v>
      </c>
      <c r="D12" s="3669">
        <f>[3]顺义土地案例!K18</f>
        <v>24.25</v>
      </c>
      <c r="E12" s="3669">
        <f>[3]顺义土地案例!O18</f>
        <v>7.26</v>
      </c>
      <c r="F12" s="3669">
        <f>[3]顺义土地案例!R18</f>
        <v>3879.88</v>
      </c>
      <c r="G12" s="3669">
        <f>[3]顺义土地案例!S18</f>
        <v>20568.54</v>
      </c>
      <c r="H12" s="3689">
        <f>[3]顺义土地案例!AD18</f>
        <v>1.2334725731683311E-2</v>
      </c>
      <c r="I12" s="3713">
        <v>44621</v>
      </c>
      <c r="J12" s="3690">
        <f t="shared" si="0"/>
        <v>1008.2</v>
      </c>
      <c r="K12" s="3690">
        <f>ROUND(J12*P15*P17*P14*P19*P18*P16,1)</f>
        <v>1047.9000000000001</v>
      </c>
    </row>
    <row r="13" spans="1:16">
      <c r="C13" s="3691"/>
      <c r="N13" s="3342" t="s">
        <v>3280</v>
      </c>
      <c r="O13" s="3402">
        <v>0</v>
      </c>
    </row>
    <row r="14" spans="1:16">
      <c r="N14" s="3342" t="s">
        <v>3281</v>
      </c>
      <c r="O14" s="3402">
        <f>'[3]地价-分区'!H6</f>
        <v>0.43</v>
      </c>
      <c r="P14" s="3279">
        <f>O14/100+1</f>
        <v>1.0043</v>
      </c>
    </row>
    <row r="15" spans="1:16">
      <c r="N15" s="3343" t="s">
        <v>3259</v>
      </c>
      <c r="O15" s="3406">
        <v>0.71</v>
      </c>
      <c r="P15" s="3279">
        <f>O15/100+1</f>
        <v>1.0071000000000001</v>
      </c>
    </row>
    <row r="16" spans="1:16">
      <c r="N16" s="3342" t="s">
        <v>2450</v>
      </c>
      <c r="O16" s="3408">
        <v>0.5</v>
      </c>
      <c r="P16" s="3279">
        <f t="shared" ref="P16:P24" si="1">O16/100+1</f>
        <v>1.0049999999999999</v>
      </c>
    </row>
    <row r="17" spans="1:16">
      <c r="J17" s="3682">
        <f>ROUND(AVERAGE(J3:J7),1)</f>
        <v>4276.3999999999996</v>
      </c>
      <c r="K17" s="3692">
        <f>ROUND(AVERAGE(K3:K7),2)</f>
        <v>4390.9799999999996</v>
      </c>
      <c r="N17" s="3342" t="s">
        <v>2449</v>
      </c>
      <c r="O17" s="3408">
        <v>0.53</v>
      </c>
      <c r="P17" s="3279">
        <f t="shared" si="1"/>
        <v>1.0053000000000001</v>
      </c>
    </row>
    <row r="18" spans="1:16">
      <c r="A18" s="3669"/>
      <c r="B18" s="3668" t="s">
        <v>3282</v>
      </c>
      <c r="C18" s="3688" t="s">
        <v>3283</v>
      </c>
      <c r="N18" s="3342" t="s">
        <v>2448</v>
      </c>
      <c r="O18" s="3408">
        <v>0.63</v>
      </c>
      <c r="P18" s="3279">
        <f t="shared" si="1"/>
        <v>1.0063</v>
      </c>
    </row>
    <row r="19" spans="1:16">
      <c r="A19" s="3668" t="s">
        <v>3284</v>
      </c>
      <c r="B19" s="3669">
        <f>J3</f>
        <v>2838.7</v>
      </c>
      <c r="C19" s="3689">
        <f>K3</f>
        <v>3041.4</v>
      </c>
      <c r="N19" s="3342" t="s">
        <v>2447</v>
      </c>
      <c r="O19" s="3408">
        <v>1.08</v>
      </c>
      <c r="P19" s="3279">
        <f t="shared" si="1"/>
        <v>1.0107999999999999</v>
      </c>
    </row>
    <row r="20" spans="1:16">
      <c r="A20" s="3668" t="s">
        <v>3285</v>
      </c>
      <c r="B20" s="3669">
        <f t="shared" ref="B20:C23" si="2">J4</f>
        <v>2453.6</v>
      </c>
      <c r="C20" s="3689">
        <f t="shared" si="2"/>
        <v>2523.1</v>
      </c>
      <c r="N20" s="3342" t="s">
        <v>2446</v>
      </c>
      <c r="O20" s="3408">
        <v>0.64</v>
      </c>
      <c r="P20" s="3279">
        <f t="shared" si="1"/>
        <v>1.0064</v>
      </c>
    </row>
    <row r="21" spans="1:16">
      <c r="A21" s="3668" t="s">
        <v>3286</v>
      </c>
      <c r="B21" s="3669">
        <f t="shared" si="2"/>
        <v>6929.7</v>
      </c>
      <c r="C21" s="3689">
        <f t="shared" si="2"/>
        <v>7125.9</v>
      </c>
      <c r="N21" s="3342" t="s">
        <v>2295</v>
      </c>
      <c r="O21" s="3408">
        <v>0.55000000000000004</v>
      </c>
      <c r="P21" s="3279">
        <f t="shared" si="1"/>
        <v>1.0055000000000001</v>
      </c>
    </row>
    <row r="22" spans="1:16">
      <c r="A22" s="3668" t="s">
        <v>3287</v>
      </c>
      <c r="B22" s="3669">
        <f t="shared" si="2"/>
        <v>1589.9</v>
      </c>
      <c r="C22" s="3689">
        <f t="shared" si="2"/>
        <v>1608.1</v>
      </c>
      <c r="N22" s="3342" t="s">
        <v>2294</v>
      </c>
      <c r="O22" s="3408">
        <v>0.48</v>
      </c>
      <c r="P22" s="3279">
        <f t="shared" si="1"/>
        <v>1.0047999999999999</v>
      </c>
    </row>
    <row r="23" spans="1:16">
      <c r="A23" s="3668" t="s">
        <v>3288</v>
      </c>
      <c r="B23" s="3669">
        <f t="shared" si="2"/>
        <v>7569.9</v>
      </c>
      <c r="C23" s="3689">
        <f t="shared" si="2"/>
        <v>7656.4</v>
      </c>
      <c r="N23" s="3342" t="s">
        <v>2293</v>
      </c>
      <c r="O23" s="3408">
        <v>1.01</v>
      </c>
      <c r="P23" s="3279">
        <f t="shared" si="1"/>
        <v>1.0101</v>
      </c>
    </row>
    <row r="24" spans="1:16" ht="15" thickBot="1">
      <c r="A24" s="3372"/>
      <c r="N24" s="3344" t="s">
        <v>2292</v>
      </c>
      <c r="O24" s="3411">
        <v>0.36</v>
      </c>
      <c r="P24" s="3279">
        <f t="shared" si="1"/>
        <v>1.0036</v>
      </c>
    </row>
    <row r="25" spans="1:16" ht="15" thickTop="1"/>
    <row r="26" spans="1:16">
      <c r="F26" s="3279">
        <v>27</v>
      </c>
      <c r="G26" s="3279">
        <f>POWER(F26,1/3)</f>
        <v>2.9999999999999996</v>
      </c>
    </row>
    <row r="27" spans="1:16">
      <c r="F27" s="3279">
        <v>0.43</v>
      </c>
      <c r="G27" s="3279">
        <f>POWER(F27,1/3)</f>
        <v>0.7547842314287575</v>
      </c>
      <c r="H27" s="3692">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908" t="s">
        <v>471</v>
      </c>
      <c r="D4" s="3909"/>
      <c r="E4" s="3944" t="s">
        <v>472</v>
      </c>
      <c r="F4" s="3945"/>
      <c r="G4" s="3908" t="s">
        <v>473</v>
      </c>
      <c r="H4" s="3909"/>
      <c r="I4" s="3908" t="s">
        <v>474</v>
      </c>
      <c r="J4" s="3909"/>
      <c r="K4" s="484" t="s">
        <v>475</v>
      </c>
      <c r="L4" s="1855"/>
      <c r="M4" s="1856"/>
      <c r="N4" s="1856"/>
      <c r="O4" s="1856"/>
      <c r="P4" s="3910" t="s">
        <v>476</v>
      </c>
      <c r="Q4" s="3911"/>
      <c r="R4" s="3916" t="s">
        <v>472</v>
      </c>
      <c r="S4" s="3917"/>
      <c r="T4" s="3916" t="s">
        <v>473</v>
      </c>
      <c r="U4" s="3917"/>
      <c r="V4" s="3903" t="s">
        <v>474</v>
      </c>
      <c r="W4" s="3903"/>
      <c r="X4" s="1379"/>
      <c r="Y4" s="3916" t="s">
        <v>476</v>
      </c>
      <c r="Z4" s="3917"/>
      <c r="AA4" s="3905" t="s">
        <v>472</v>
      </c>
      <c r="AB4" s="3906" t="s">
        <v>473</v>
      </c>
      <c r="AC4" s="3905" t="s">
        <v>474</v>
      </c>
    </row>
    <row r="5" spans="1:29">
      <c r="A5" s="485"/>
      <c r="B5" s="486"/>
      <c r="C5" s="3924" t="s">
        <v>2192</v>
      </c>
      <c r="D5" s="3925"/>
      <c r="E5" s="3946" t="str">
        <f>成本案例!B3</f>
        <v xml:space="preserve">顺义区国展预留地剩余地块 土地一级开发项目 </v>
      </c>
      <c r="F5" s="3947"/>
      <c r="G5" s="3924" t="str">
        <f>成本案例!B4</f>
        <v>顺义区仁和镇平各庄村B 地块土地一级开发项目</v>
      </c>
      <c r="H5" s="3925"/>
      <c r="I5" s="3924" t="str">
        <f>成本案例!B6</f>
        <v>顺义区M15号线后沙峪站ABC地块</v>
      </c>
      <c r="J5" s="3925"/>
      <c r="K5" s="484"/>
      <c r="L5" s="1855"/>
      <c r="M5" s="1856"/>
      <c r="N5" s="1856"/>
      <c r="O5" s="1856"/>
      <c r="P5" s="3912"/>
      <c r="Q5" s="3913"/>
      <c r="R5" s="3918"/>
      <c r="S5" s="3919"/>
      <c r="T5" s="3918"/>
      <c r="U5" s="3919"/>
      <c r="V5" s="3903"/>
      <c r="W5" s="3903"/>
      <c r="X5" s="1379"/>
      <c r="Y5" s="3918"/>
      <c r="Z5" s="3919"/>
      <c r="AA5" s="3906"/>
      <c r="AB5" s="3906"/>
      <c r="AC5" s="3906"/>
    </row>
    <row r="6" spans="1:29" ht="15" thickBot="1">
      <c r="A6" s="487"/>
      <c r="B6" s="488"/>
      <c r="C6" s="3922" t="s">
        <v>2196</v>
      </c>
      <c r="D6" s="3923"/>
      <c r="E6" s="3942" t="s">
        <v>2196</v>
      </c>
      <c r="F6" s="3943"/>
      <c r="G6" s="3922" t="s">
        <v>2196</v>
      </c>
      <c r="H6" s="3923"/>
      <c r="I6" s="3922" t="s">
        <v>2196</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 thickBot="1">
      <c r="A7" s="2391"/>
      <c r="B7" s="2398" t="s">
        <v>478</v>
      </c>
      <c r="C7" s="489">
        <f>'数据-取费表'!B2</f>
        <v>45597</v>
      </c>
      <c r="D7" s="490">
        <v>100</v>
      </c>
      <c r="E7" s="491">
        <v>44105</v>
      </c>
      <c r="F7" s="492">
        <f>SUMIF(52:52,YEAR(E7)&amp;"-"&amp;MONTH(E7),53:53)</f>
        <v>0</v>
      </c>
      <c r="G7" s="491">
        <v>44652</v>
      </c>
      <c r="H7" s="490">
        <f>SUMIF(52:52,YEAR(G7)&amp;"-"&amp;MONTH(G7),53:53)</f>
        <v>0</v>
      </c>
      <c r="I7" s="491">
        <v>44986</v>
      </c>
      <c r="J7" s="490">
        <f>SUMIF(52:52,YEAR(I7)&amp;"-"&amp;MONTH(I7),53:53)</f>
        <v>0</v>
      </c>
      <c r="K7" s="494"/>
      <c r="L7" s="1857"/>
      <c r="M7" s="1858"/>
      <c r="N7" s="1858"/>
      <c r="O7" s="1858"/>
      <c r="P7" s="3932" t="s">
        <v>479</v>
      </c>
      <c r="Q7" s="3934"/>
      <c r="R7" s="1380" t="s">
        <v>5</v>
      </c>
      <c r="S7" s="1381">
        <f t="shared" ref="S7:S15" si="0">F7</f>
        <v>0</v>
      </c>
      <c r="T7" s="1380" t="s">
        <v>5</v>
      </c>
      <c r="U7" s="1381">
        <f t="shared" ref="U7:U15" si="1">H7</f>
        <v>0</v>
      </c>
      <c r="V7" s="1380" t="s">
        <v>5</v>
      </c>
      <c r="W7" s="1381">
        <f t="shared" ref="W7:W15"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7"/>
      <c r="M8" s="1858"/>
      <c r="N8" s="1858"/>
      <c r="O8" s="1858"/>
      <c r="P8" s="3932" t="s">
        <v>482</v>
      </c>
      <c r="Q8" s="3933"/>
      <c r="R8" s="1380" t="s">
        <v>5</v>
      </c>
      <c r="S8" s="1381">
        <f t="shared" si="0"/>
        <v>100</v>
      </c>
      <c r="T8" s="1380" t="s">
        <v>5</v>
      </c>
      <c r="U8" s="1381">
        <f t="shared" si="1"/>
        <v>100</v>
      </c>
      <c r="V8" s="1380" t="s">
        <v>5</v>
      </c>
      <c r="W8" s="1381">
        <f t="shared" si="2"/>
        <v>100</v>
      </c>
      <c r="X8" s="1382"/>
      <c r="Y8" s="3932" t="s">
        <v>482</v>
      </c>
      <c r="Z8" s="3933"/>
      <c r="AA8" s="1383">
        <f t="shared" ref="AA8:AA40" si="3">D8/F8</f>
        <v>1</v>
      </c>
      <c r="AB8" s="1383">
        <f t="shared" ref="AB8:AB40" si="4">D8/H8</f>
        <v>1</v>
      </c>
      <c r="AC8" s="1383">
        <f t="shared" ref="AC8:AC40" si="5">D8/J8</f>
        <v>1</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2" t="s">
        <v>484</v>
      </c>
      <c r="Q9" s="1049" t="str">
        <f t="shared" ref="Q9:Q15" si="6">B9</f>
        <v>用途</v>
      </c>
      <c r="R9" s="1380" t="s">
        <v>5</v>
      </c>
      <c r="S9" s="1381">
        <f t="shared" si="0"/>
        <v>100</v>
      </c>
      <c r="T9" s="1380" t="s">
        <v>5</v>
      </c>
      <c r="U9" s="1381">
        <f t="shared" si="1"/>
        <v>100</v>
      </c>
      <c r="V9" s="1380" t="s">
        <v>5</v>
      </c>
      <c r="W9" s="1381">
        <f t="shared" si="2"/>
        <v>100</v>
      </c>
      <c r="X9" s="1382"/>
      <c r="Y9" s="3846" t="s">
        <v>485</v>
      </c>
      <c r="Z9" s="1048" t="str">
        <f t="shared" ref="Z9:Z15" si="7">Q9</f>
        <v>用途</v>
      </c>
      <c r="AA9" s="1383">
        <f t="shared" si="3"/>
        <v>1</v>
      </c>
      <c r="AB9" s="1383">
        <f t="shared" si="4"/>
        <v>1</v>
      </c>
      <c r="AC9" s="1383">
        <f t="shared" si="5"/>
        <v>1</v>
      </c>
    </row>
    <row r="10" spans="1:29" s="1198" customFormat="1" ht="28.8">
      <c r="A10" s="2394"/>
      <c r="B10" s="2399" t="s">
        <v>2039</v>
      </c>
      <c r="C10" s="3658" t="s">
        <v>3402</v>
      </c>
      <c r="D10" s="246">
        <v>100</v>
      </c>
      <c r="E10" s="3658" t="s">
        <v>3402</v>
      </c>
      <c r="F10" s="246">
        <f>SUMIF(59:59,E10,60:60)-SUMIF(59:59,C10,60:60)+100</f>
        <v>100</v>
      </c>
      <c r="G10" s="3659" t="s">
        <v>3403</v>
      </c>
      <c r="H10" s="246">
        <f>SUMIF(59:59,G10,60:60)-SUMIF(59:59,C10,60:60)+100</f>
        <v>100</v>
      </c>
      <c r="I10" s="3658" t="s">
        <v>3402</v>
      </c>
      <c r="J10" s="246">
        <f>SUMIF(59:59,I10,60:60)-SUMIF(59:59,C10,60:60)+100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5"/>
      <c r="B11" s="2399"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2"/>
      <c r="M11" s="1856"/>
      <c r="N11" s="1856"/>
      <c r="O11" s="1863"/>
      <c r="P11" s="3902"/>
      <c r="Q11" s="1049" t="str">
        <f t="shared" si="6"/>
        <v>容积率</v>
      </c>
      <c r="R11" s="1380" t="s">
        <v>5</v>
      </c>
      <c r="S11" s="1381" t="e">
        <f t="shared" si="0"/>
        <v>#N/A</v>
      </c>
      <c r="T11" s="1380" t="s">
        <v>5</v>
      </c>
      <c r="U11" s="1381" t="e">
        <f t="shared" si="1"/>
        <v>#N/A</v>
      </c>
      <c r="V11" s="1380" t="s">
        <v>5</v>
      </c>
      <c r="W11" s="1381" t="e">
        <f t="shared" si="2"/>
        <v>#N/A</v>
      </c>
      <c r="X11" s="1382"/>
      <c r="Y11" s="3846"/>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46"/>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46"/>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2"/>
      <c r="Q14" s="1049">
        <f t="shared" si="6"/>
        <v>111</v>
      </c>
      <c r="R14" s="1380" t="s">
        <v>5</v>
      </c>
      <c r="S14" s="1381">
        <f t="shared" si="0"/>
        <v>100</v>
      </c>
      <c r="T14" s="1380" t="s">
        <v>5</v>
      </c>
      <c r="U14" s="1381">
        <f t="shared" si="1"/>
        <v>100</v>
      </c>
      <c r="V14" s="1380" t="s">
        <v>5</v>
      </c>
      <c r="W14" s="1381">
        <f t="shared" si="2"/>
        <v>100</v>
      </c>
      <c r="X14" s="1382"/>
      <c r="Y14" s="3846"/>
      <c r="Z14" s="1048">
        <f t="shared" si="7"/>
        <v>111</v>
      </c>
      <c r="AA14" s="1383">
        <f t="shared" si="3"/>
        <v>1</v>
      </c>
      <c r="AB14" s="1383">
        <f t="shared" si="4"/>
        <v>1</v>
      </c>
      <c r="AC14" s="1383">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35" t="s">
        <v>489</v>
      </c>
      <c r="Q15" s="1384" t="str">
        <f t="shared" si="6"/>
        <v>产业集聚程度</v>
      </c>
      <c r="R15" s="1385" t="s">
        <v>5</v>
      </c>
      <c r="S15" s="1386">
        <f t="shared" si="0"/>
        <v>100</v>
      </c>
      <c r="T15" s="1385" t="s">
        <v>5</v>
      </c>
      <c r="U15" s="1386">
        <f t="shared" si="1"/>
        <v>100</v>
      </c>
      <c r="V15" s="1385" t="s">
        <v>5</v>
      </c>
      <c r="W15" s="1386">
        <f t="shared" si="2"/>
        <v>100</v>
      </c>
      <c r="X15" s="1379"/>
      <c r="Y15" s="3935"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6"/>
      <c r="Q16" s="1384"/>
      <c r="R16" s="1385"/>
      <c r="S16" s="1386"/>
      <c r="T16" s="1385"/>
      <c r="U16" s="1386"/>
      <c r="V16" s="1385"/>
      <c r="W16" s="1386"/>
      <c r="X16" s="1379"/>
      <c r="Y16" s="3936"/>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36"/>
      <c r="Q17" s="1384" t="str">
        <f>B17</f>
        <v>交通便捷度</v>
      </c>
      <c r="R17" s="1385" t="s">
        <v>5</v>
      </c>
      <c r="S17" s="1386">
        <f>F17</f>
        <v>100</v>
      </c>
      <c r="T17" s="1385" t="s">
        <v>5</v>
      </c>
      <c r="U17" s="1386">
        <f>H17</f>
        <v>100</v>
      </c>
      <c r="V17" s="1385" t="s">
        <v>5</v>
      </c>
      <c r="W17" s="1386">
        <f>J17</f>
        <v>100</v>
      </c>
      <c r="X17" s="1379"/>
      <c r="Y17" s="3936"/>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6"/>
      <c r="Q18" s="1384"/>
      <c r="R18" s="1385"/>
      <c r="S18" s="1386"/>
      <c r="T18" s="1385"/>
      <c r="U18" s="1386"/>
      <c r="V18" s="1385"/>
      <c r="W18" s="1386"/>
      <c r="X18" s="1379"/>
      <c r="Y18" s="3936"/>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36"/>
      <c r="Q19" s="1384" t="str">
        <f>B19</f>
        <v>公共配套设施</v>
      </c>
      <c r="R19" s="1385" t="s">
        <v>5</v>
      </c>
      <c r="S19" s="1386">
        <f>F19</f>
        <v>100</v>
      </c>
      <c r="T19" s="1385" t="s">
        <v>5</v>
      </c>
      <c r="U19" s="1386">
        <f>H19</f>
        <v>100</v>
      </c>
      <c r="V19" s="1385" t="s">
        <v>5</v>
      </c>
      <c r="W19" s="1386">
        <f>J19</f>
        <v>100</v>
      </c>
      <c r="X19" s="1379"/>
      <c r="Y19" s="3936"/>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36"/>
      <c r="Q20" s="1384"/>
      <c r="R20" s="1385"/>
      <c r="S20" s="1386"/>
      <c r="T20" s="1385"/>
      <c r="U20" s="1386"/>
      <c r="V20" s="1385"/>
      <c r="W20" s="1386"/>
      <c r="X20" s="1379"/>
      <c r="Y20" s="3936"/>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36"/>
      <c r="Q21" s="2192" t="str">
        <f>B21</f>
        <v>基础设施水平</v>
      </c>
      <c r="R21" s="1385" t="s">
        <v>5</v>
      </c>
      <c r="S21" s="1386">
        <f>F21</f>
        <v>100</v>
      </c>
      <c r="T21" s="1385" t="s">
        <v>5</v>
      </c>
      <c r="U21" s="1386">
        <f>H21</f>
        <v>100</v>
      </c>
      <c r="V21" s="1385" t="s">
        <v>5</v>
      </c>
      <c r="W21" s="1386">
        <f>J21</f>
        <v>100</v>
      </c>
      <c r="X21" s="2194"/>
      <c r="Y21" s="3936"/>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36"/>
      <c r="Q22" s="2192"/>
      <c r="R22" s="1385"/>
      <c r="S22" s="1386"/>
      <c r="T22" s="1385"/>
      <c r="U22" s="1386"/>
      <c r="V22" s="1385"/>
      <c r="W22" s="1386"/>
      <c r="X22" s="2194"/>
      <c r="Y22" s="3936"/>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36"/>
      <c r="Q23" s="1384" t="str">
        <f>B23</f>
        <v>环境质量</v>
      </c>
      <c r="R23" s="1385" t="s">
        <v>5</v>
      </c>
      <c r="S23" s="1386">
        <f>F23</f>
        <v>100</v>
      </c>
      <c r="T23" s="1385" t="s">
        <v>5</v>
      </c>
      <c r="U23" s="1386">
        <f>H23</f>
        <v>100</v>
      </c>
      <c r="V23" s="1385" t="s">
        <v>5</v>
      </c>
      <c r="W23" s="1386">
        <f>J23</f>
        <v>100</v>
      </c>
      <c r="X23" s="1379"/>
      <c r="Y23" s="3936"/>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36"/>
      <c r="Q24" s="1384"/>
      <c r="R24" s="1385"/>
      <c r="S24" s="1386"/>
      <c r="T24" s="1385"/>
      <c r="U24" s="1386"/>
      <c r="V24" s="1385"/>
      <c r="W24" s="1386"/>
      <c r="X24" s="1379"/>
      <c r="Y24" s="3936"/>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36"/>
      <c r="Q25" s="1384">
        <f>B25</f>
        <v>111</v>
      </c>
      <c r="R25" s="1385" t="s">
        <v>5</v>
      </c>
      <c r="S25" s="1386">
        <f>F25</f>
        <v>100</v>
      </c>
      <c r="T25" s="1385" t="s">
        <v>5</v>
      </c>
      <c r="U25" s="1386">
        <f>H25</f>
        <v>100</v>
      </c>
      <c r="V25" s="1385" t="s">
        <v>5</v>
      </c>
      <c r="W25" s="1386">
        <f>J25</f>
        <v>100</v>
      </c>
      <c r="X25" s="1379"/>
      <c r="Y25" s="3936"/>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36"/>
      <c r="Q26" s="1384">
        <f t="shared" ref="Q26:Q40" si="8">B26</f>
        <v>111</v>
      </c>
      <c r="R26" s="1385" t="s">
        <v>5</v>
      </c>
      <c r="S26" s="1386">
        <f>F26</f>
        <v>100</v>
      </c>
      <c r="T26" s="1385" t="s">
        <v>5</v>
      </c>
      <c r="U26" s="1386">
        <f>H26</f>
        <v>100</v>
      </c>
      <c r="V26" s="1385" t="s">
        <v>5</v>
      </c>
      <c r="W26" s="1386">
        <f>J26</f>
        <v>100</v>
      </c>
      <c r="X26" s="1379"/>
      <c r="Y26" s="3936"/>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36"/>
      <c r="Q27" s="1049">
        <f t="shared" si="8"/>
        <v>111</v>
      </c>
      <c r="R27" s="1380" t="s">
        <v>5</v>
      </c>
      <c r="S27" s="1381">
        <f>F27</f>
        <v>100</v>
      </c>
      <c r="T27" s="1380" t="s">
        <v>5</v>
      </c>
      <c r="U27" s="1381">
        <f>H27</f>
        <v>100</v>
      </c>
      <c r="V27" s="1380" t="s">
        <v>5</v>
      </c>
      <c r="W27" s="1381">
        <f>J27</f>
        <v>100</v>
      </c>
      <c r="X27" s="1382"/>
      <c r="Y27" s="3936"/>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36"/>
      <c r="Q28" s="1384">
        <f t="shared" si="8"/>
        <v>111</v>
      </c>
      <c r="R28" s="1385" t="s">
        <v>5</v>
      </c>
      <c r="S28" s="1386">
        <f t="shared" ref="S28:S40" si="9">F28</f>
        <v>100</v>
      </c>
      <c r="T28" s="1385" t="s">
        <v>5</v>
      </c>
      <c r="U28" s="1386">
        <f t="shared" ref="U28:U40" si="10">H28</f>
        <v>100</v>
      </c>
      <c r="V28" s="1385" t="s">
        <v>5</v>
      </c>
      <c r="W28" s="1386">
        <f t="shared" ref="W28:W40" si="11">J28</f>
        <v>100</v>
      </c>
      <c r="X28" s="1379"/>
      <c r="Y28" s="3936"/>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37" t="s">
        <v>499</v>
      </c>
      <c r="Q29" s="1384" t="str">
        <f t="shared" si="8"/>
        <v>建筑类型</v>
      </c>
      <c r="R29" s="1385" t="s">
        <v>5</v>
      </c>
      <c r="S29" s="1386">
        <f t="shared" si="9"/>
        <v>100</v>
      </c>
      <c r="T29" s="1385" t="s">
        <v>5</v>
      </c>
      <c r="U29" s="1386">
        <f t="shared" si="10"/>
        <v>100</v>
      </c>
      <c r="V29" s="1385" t="s">
        <v>5</v>
      </c>
      <c r="W29" s="1386">
        <f t="shared" si="11"/>
        <v>100</v>
      </c>
      <c r="X29" s="1379"/>
      <c r="Y29" s="3938"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8"/>
      <c r="Q30" s="1413" t="str">
        <f t="shared" si="8"/>
        <v>项目建筑规模</v>
      </c>
      <c r="R30" s="1389" t="s">
        <v>5</v>
      </c>
      <c r="S30" s="1390" t="e">
        <f t="shared" si="9"/>
        <v>#N/A</v>
      </c>
      <c r="T30" s="1389" t="s">
        <v>5</v>
      </c>
      <c r="U30" s="1390" t="e">
        <f t="shared" si="10"/>
        <v>#N/A</v>
      </c>
      <c r="V30" s="1389" t="s">
        <v>5</v>
      </c>
      <c r="W30" s="1390" t="e">
        <f t="shared" si="11"/>
        <v>#N/A</v>
      </c>
      <c r="X30" s="1391"/>
      <c r="Y30" s="3938"/>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8"/>
      <c r="Q31" s="1384" t="str">
        <f t="shared" si="8"/>
        <v>建筑结构</v>
      </c>
      <c r="R31" s="1385" t="s">
        <v>5</v>
      </c>
      <c r="S31" s="1386">
        <f t="shared" si="9"/>
        <v>100</v>
      </c>
      <c r="T31" s="1385" t="s">
        <v>5</v>
      </c>
      <c r="U31" s="1386">
        <f t="shared" si="10"/>
        <v>100</v>
      </c>
      <c r="V31" s="1385" t="s">
        <v>5</v>
      </c>
      <c r="W31" s="1386">
        <f t="shared" si="11"/>
        <v>100</v>
      </c>
      <c r="X31" s="1379"/>
      <c r="Y31" s="3938"/>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8"/>
      <c r="Q32" s="1384" t="str">
        <f t="shared" si="8"/>
        <v>公共部分装修</v>
      </c>
      <c r="R32" s="1385" t="s">
        <v>5</v>
      </c>
      <c r="S32" s="1386">
        <f t="shared" si="9"/>
        <v>100</v>
      </c>
      <c r="T32" s="1385" t="s">
        <v>5</v>
      </c>
      <c r="U32" s="1386">
        <f t="shared" si="10"/>
        <v>100</v>
      </c>
      <c r="V32" s="1385" t="s">
        <v>5</v>
      </c>
      <c r="W32" s="1386">
        <f t="shared" si="11"/>
        <v>100</v>
      </c>
      <c r="X32" s="1379"/>
      <c r="Y32" s="3938"/>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8"/>
      <c r="Q33" s="1384" t="str">
        <f t="shared" si="8"/>
        <v>成新度</v>
      </c>
      <c r="R33" s="1385" t="s">
        <v>5</v>
      </c>
      <c r="S33" s="1386" t="e">
        <f t="shared" si="9"/>
        <v>#N/A</v>
      </c>
      <c r="T33" s="1385" t="s">
        <v>5</v>
      </c>
      <c r="U33" s="1386" t="e">
        <f t="shared" si="10"/>
        <v>#N/A</v>
      </c>
      <c r="V33" s="1385" t="s">
        <v>5</v>
      </c>
      <c r="W33" s="1386" t="e">
        <f t="shared" si="11"/>
        <v>#N/A</v>
      </c>
      <c r="X33" s="1379"/>
      <c r="Y33" s="3938"/>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8"/>
      <c r="Q34" s="1049" t="str">
        <f t="shared" si="8"/>
        <v>物业管理</v>
      </c>
      <c r="R34" s="1380" t="s">
        <v>5</v>
      </c>
      <c r="S34" s="1381">
        <f t="shared" si="9"/>
        <v>100</v>
      </c>
      <c r="T34" s="1380" t="s">
        <v>5</v>
      </c>
      <c r="U34" s="1381">
        <f t="shared" si="10"/>
        <v>100</v>
      </c>
      <c r="V34" s="1380" t="s">
        <v>5</v>
      </c>
      <c r="W34" s="1381">
        <f t="shared" si="11"/>
        <v>100</v>
      </c>
      <c r="X34" s="1382"/>
      <c r="Y34" s="3938"/>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8" t="s">
        <v>499</v>
      </c>
      <c r="Q35" s="1384" t="str">
        <f t="shared" si="8"/>
        <v>市政基础设施</v>
      </c>
      <c r="R35" s="1385" t="s">
        <v>5</v>
      </c>
      <c r="S35" s="1386">
        <f t="shared" si="9"/>
        <v>100</v>
      </c>
      <c r="T35" s="1385" t="s">
        <v>5</v>
      </c>
      <c r="U35" s="1386">
        <f t="shared" si="10"/>
        <v>100</v>
      </c>
      <c r="V35" s="1385" t="s">
        <v>5</v>
      </c>
      <c r="W35" s="1386">
        <f t="shared" si="11"/>
        <v>100</v>
      </c>
      <c r="X35" s="1379"/>
      <c r="Y35" s="3938"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8"/>
      <c r="Q36" s="1384" t="str">
        <f t="shared" si="8"/>
        <v>内部装修</v>
      </c>
      <c r="R36" s="1385" t="s">
        <v>5</v>
      </c>
      <c r="S36" s="1386">
        <f t="shared" si="9"/>
        <v>100</v>
      </c>
      <c r="T36" s="1385" t="s">
        <v>5</v>
      </c>
      <c r="U36" s="1386">
        <f t="shared" si="10"/>
        <v>100</v>
      </c>
      <c r="V36" s="1385" t="s">
        <v>5</v>
      </c>
      <c r="W36" s="1386">
        <f t="shared" si="11"/>
        <v>100</v>
      </c>
      <c r="X36" s="1379"/>
      <c r="Y36" s="3938"/>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8"/>
      <c r="Q37" s="1384" t="str">
        <f t="shared" si="8"/>
        <v>内部装修状况</v>
      </c>
      <c r="R37" s="1385" t="s">
        <v>5</v>
      </c>
      <c r="S37" s="1386">
        <f t="shared" si="9"/>
        <v>100</v>
      </c>
      <c r="T37" s="1385" t="s">
        <v>5</v>
      </c>
      <c r="U37" s="1386">
        <f t="shared" si="10"/>
        <v>100</v>
      </c>
      <c r="V37" s="1385" t="s">
        <v>5</v>
      </c>
      <c r="W37" s="1386">
        <f t="shared" si="11"/>
        <v>100</v>
      </c>
      <c r="X37" s="1379"/>
      <c r="Y37" s="3938"/>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8"/>
      <c r="Q38" s="1413">
        <f t="shared" si="8"/>
        <v>111</v>
      </c>
      <c r="R38" s="1389" t="s">
        <v>5</v>
      </c>
      <c r="S38" s="1390">
        <f t="shared" si="9"/>
        <v>100</v>
      </c>
      <c r="T38" s="1389" t="s">
        <v>5</v>
      </c>
      <c r="U38" s="1390">
        <f t="shared" si="10"/>
        <v>100</v>
      </c>
      <c r="V38" s="1389" t="s">
        <v>5</v>
      </c>
      <c r="W38" s="1390">
        <f t="shared" si="11"/>
        <v>100</v>
      </c>
      <c r="X38" s="1391"/>
      <c r="Y38" s="3938"/>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8"/>
      <c r="Q39" s="1384">
        <f t="shared" si="8"/>
        <v>111</v>
      </c>
      <c r="R39" s="1385" t="s">
        <v>5</v>
      </c>
      <c r="S39" s="1386">
        <f t="shared" si="9"/>
        <v>100</v>
      </c>
      <c r="T39" s="1385" t="s">
        <v>5</v>
      </c>
      <c r="U39" s="1386">
        <f t="shared" si="10"/>
        <v>100</v>
      </c>
      <c r="V39" s="1385" t="s">
        <v>5</v>
      </c>
      <c r="W39" s="1386">
        <f t="shared" si="11"/>
        <v>100</v>
      </c>
      <c r="X39" s="1379"/>
      <c r="Y39" s="3938"/>
      <c r="Z39" s="1387">
        <f t="shared" si="12"/>
        <v>111</v>
      </c>
      <c r="AA39" s="1388">
        <f t="shared" si="3"/>
        <v>1</v>
      </c>
      <c r="AB39" s="1388">
        <f t="shared" si="4"/>
        <v>1</v>
      </c>
      <c r="AC39" s="1388">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31"/>
      <c r="Q40" s="1384">
        <f t="shared" si="8"/>
        <v>111</v>
      </c>
      <c r="R40" s="1385" t="s">
        <v>5</v>
      </c>
      <c r="S40" s="1386">
        <f t="shared" si="9"/>
        <v>100</v>
      </c>
      <c r="T40" s="1385" t="s">
        <v>5</v>
      </c>
      <c r="U40" s="1386">
        <f t="shared" si="10"/>
        <v>100</v>
      </c>
      <c r="V40" s="1385" t="s">
        <v>5</v>
      </c>
      <c r="W40" s="1386">
        <f t="shared" si="11"/>
        <v>100</v>
      </c>
      <c r="X40" s="1379"/>
      <c r="Y40" s="4031"/>
      <c r="Z40" s="1387">
        <f t="shared" si="12"/>
        <v>111</v>
      </c>
      <c r="AA40" s="1388">
        <f t="shared" si="3"/>
        <v>1</v>
      </c>
      <c r="AB40" s="1388">
        <f t="shared" si="4"/>
        <v>1</v>
      </c>
      <c r="AC40" s="1388">
        <f t="shared" si="5"/>
        <v>1</v>
      </c>
    </row>
    <row r="41" spans="1:29" ht="14.4">
      <c r="A41" s="577" t="s">
        <v>683</v>
      </c>
      <c r="B41" s="850"/>
      <c r="C41" s="2233" t="s">
        <v>0</v>
      </c>
      <c r="D41" s="2234"/>
      <c r="E41" s="2235"/>
      <c r="F41" s="2236"/>
      <c r="G41" s="2237"/>
      <c r="H41" s="2238"/>
      <c r="I41" s="2235"/>
      <c r="J41" s="2238"/>
      <c r="K41" s="1418"/>
      <c r="L41" s="1866"/>
      <c r="M41" s="1867"/>
      <c r="N41" s="1856"/>
      <c r="O41" s="1867"/>
      <c r="P41" s="3902" t="str">
        <f>A41</f>
        <v>成交单价（元/平方米）</v>
      </c>
      <c r="Q41" s="3902"/>
      <c r="R41" s="4030">
        <f>E41</f>
        <v>0</v>
      </c>
      <c r="S41" s="4030"/>
      <c r="T41" s="4030">
        <f>G41</f>
        <v>0</v>
      </c>
      <c r="U41" s="4030"/>
      <c r="V41" s="4030">
        <f>I41</f>
        <v>0</v>
      </c>
      <c r="W41" s="4030"/>
      <c r="X41" s="1374"/>
      <c r="Y41" s="1393"/>
      <c r="Z41" s="1374"/>
      <c r="AA41" s="1374"/>
      <c r="AB41" s="1374"/>
      <c r="AC41" s="1374"/>
    </row>
    <row r="42" spans="1:29" ht="15" thickBot="1">
      <c r="A42" s="585" t="s">
        <v>2042</v>
      </c>
      <c r="B42" s="851"/>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902" t="str">
        <f>A42</f>
        <v>比较价格（元/平方米）</v>
      </c>
      <c r="Q42" s="3902"/>
      <c r="R42" s="4030" t="e">
        <f>IF(F1="售价",ROUND(PRODUCT(R41,AA7:AA40),0),ROUND(PRODUCT(R41,AA7:AA40),1))</f>
        <v>#DIV/0!</v>
      </c>
      <c r="S42" s="4030"/>
      <c r="T42" s="4030" t="e">
        <f>IF(F1="售价",ROUND(PRODUCT(T41,AB7:AB40),0),ROUND(PRODUCT(T41,AB7:AB40),1))</f>
        <v>#DIV/0!</v>
      </c>
      <c r="U42" s="4030"/>
      <c r="V42" s="4030" t="e">
        <f>IF(F1="售价",ROUND(PRODUCT(V41,AC7:AC40),0),ROUND(PRODUCT(V41,AC7:AC40),1))</f>
        <v>#DIV/0!</v>
      </c>
      <c r="W42" s="4030"/>
      <c r="X42" s="1374"/>
      <c r="Y42" s="1374"/>
      <c r="Z42" s="1374"/>
      <c r="AA42" s="1374"/>
      <c r="AB42" s="1374"/>
      <c r="AC42" s="1374"/>
    </row>
    <row r="43" spans="1:29" ht="15" thickBot="1">
      <c r="A43" s="589" t="s">
        <v>2198</v>
      </c>
      <c r="B43" s="590"/>
      <c r="C43" s="2241" t="e">
        <f>R43</f>
        <v>#DIV/0!</v>
      </c>
      <c r="D43" s="2241"/>
      <c r="E43" s="2241"/>
      <c r="F43" s="2241"/>
      <c r="G43" s="2241"/>
      <c r="H43" s="2241"/>
      <c r="I43" s="2241"/>
      <c r="J43" s="2241"/>
      <c r="K43" s="1419"/>
      <c r="L43" s="1866"/>
      <c r="M43" s="1867"/>
      <c r="N43" s="1867"/>
      <c r="O43" s="1867"/>
      <c r="P43" s="3939" t="str">
        <f>A43</f>
        <v>估价对象XX用房的比较价格（楼面单价，元/平方米）</v>
      </c>
      <c r="Q43" s="3940"/>
      <c r="R43" s="4029" t="e">
        <f>IF(F1="售价",ROUND(IF(D42="简单平均",AVERAGE(R42:V42),R42*F42+T42*H42+V42*J42),0),ROUND(IF(D42="简单平均",AVERAGE(R42:V42),R42*F42+T42*H42+V42*J42),1))</f>
        <v>#DIV/0!</v>
      </c>
      <c r="S43" s="4029"/>
      <c r="T43" s="4029"/>
      <c r="U43" s="4029"/>
      <c r="V43" s="4029"/>
      <c r="W43" s="4029"/>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2024-11</v>
      </c>
      <c r="D52" s="2283">
        <f>EDATE(C52,-1)</f>
        <v>45566</v>
      </c>
      <c r="E52" s="2283">
        <f t="shared" ref="E52:O52" si="13">EDATE(D52,-1)</f>
        <v>45536</v>
      </c>
      <c r="F52" s="2283">
        <f t="shared" si="13"/>
        <v>45505</v>
      </c>
      <c r="G52" s="2283">
        <f t="shared" si="13"/>
        <v>45474</v>
      </c>
      <c r="H52" s="2283">
        <f t="shared" si="13"/>
        <v>45444</v>
      </c>
      <c r="I52" s="2283">
        <f t="shared" si="13"/>
        <v>45413</v>
      </c>
      <c r="J52" s="2283">
        <f t="shared" si="13"/>
        <v>45383</v>
      </c>
      <c r="K52" s="2283">
        <f t="shared" si="13"/>
        <v>45352</v>
      </c>
      <c r="L52" s="2283">
        <f t="shared" si="13"/>
        <v>45323</v>
      </c>
      <c r="M52" s="2283">
        <f t="shared" si="13"/>
        <v>45292</v>
      </c>
      <c r="N52" s="2283">
        <f t="shared" si="13"/>
        <v>45261</v>
      </c>
      <c r="O52" s="2283">
        <f t="shared" si="13"/>
        <v>45231</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3707" t="e">
        <f>ROUND(C53/(1+D54/100)/(1+C54/100),2)</f>
        <v>#REF!</v>
      </c>
      <c r="E53" s="3707" t="e">
        <f>ROUND(D53/(1+E54/100),2)</f>
        <v>#REF!</v>
      </c>
      <c r="F53" s="3707" t="e">
        <f t="shared" ref="F53:N53" si="14">ROUND(E53/(1+F54/100),2)</f>
        <v>#REF!</v>
      </c>
      <c r="G53" s="3707" t="e">
        <f t="shared" si="14"/>
        <v>#REF!</v>
      </c>
      <c r="H53" s="3707" t="e">
        <f t="shared" si="14"/>
        <v>#REF!</v>
      </c>
      <c r="I53" s="3707" t="e">
        <f t="shared" si="14"/>
        <v>#REF!</v>
      </c>
      <c r="J53" s="3707" t="e">
        <f t="shared" si="14"/>
        <v>#REF!</v>
      </c>
      <c r="K53" s="3707" t="e">
        <f t="shared" si="14"/>
        <v>#REF!</v>
      </c>
      <c r="L53" s="3707" t="e">
        <f t="shared" si="14"/>
        <v>#REF!</v>
      </c>
      <c r="M53" s="3707" t="e">
        <f t="shared" si="14"/>
        <v>#REF!</v>
      </c>
      <c r="N53" s="3707" t="e">
        <f t="shared" si="14"/>
        <v>#REF!</v>
      </c>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3708" t="e">
        <f>'[4]地价-分区'!#REF!</f>
        <v>#REF!</v>
      </c>
      <c r="E54" s="3708" t="e">
        <f>'[4]地价-分区'!#REF!</f>
        <v>#REF!</v>
      </c>
      <c r="F54" s="3708" t="e">
        <f>'[4]地价-分区'!#REF!</f>
        <v>#REF!</v>
      </c>
      <c r="G54" s="3708" t="e">
        <f>'[4]地价-分区'!#REF!</f>
        <v>#REF!</v>
      </c>
      <c r="H54" s="3708" t="e">
        <f>'[4]地价-分区'!#REF!</f>
        <v>#REF!</v>
      </c>
      <c r="I54" s="3708" t="e">
        <f>'[4]地价-分区'!#REF!</f>
        <v>#REF!</v>
      </c>
      <c r="J54" s="3708" t="e">
        <f>'[4]地价-分区'!#REF!</f>
        <v>#REF!</v>
      </c>
      <c r="K54" s="3708" t="e">
        <f>'[4]地价-分区'!#REF!</f>
        <v>#REF!</v>
      </c>
      <c r="L54" s="3708" t="e">
        <f>'[4]地价-分区'!H1</f>
        <v>#REF!</v>
      </c>
      <c r="M54" s="3708" t="e">
        <f>'[4]地价-分区'!H2</f>
        <v>#REF!</v>
      </c>
      <c r="N54" s="3708">
        <v>2.69</v>
      </c>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8" t="s">
        <v>738</v>
      </c>
      <c r="D4" s="3909"/>
      <c r="E4" s="3908" t="s">
        <v>739</v>
      </c>
      <c r="F4" s="3909"/>
      <c r="G4" s="3908" t="s">
        <v>740</v>
      </c>
      <c r="H4" s="3909"/>
      <c r="I4" s="3908" t="s">
        <v>741</v>
      </c>
      <c r="J4" s="3909"/>
      <c r="K4" s="484" t="s">
        <v>742</v>
      </c>
      <c r="L4" s="1855"/>
      <c r="M4" s="1856"/>
      <c r="N4" s="1856"/>
      <c r="O4" s="1856"/>
      <c r="P4" s="3910" t="s">
        <v>743</v>
      </c>
      <c r="Q4" s="3911"/>
      <c r="R4" s="3916" t="s">
        <v>739</v>
      </c>
      <c r="S4" s="3917"/>
      <c r="T4" s="3916" t="s">
        <v>740</v>
      </c>
      <c r="U4" s="3917"/>
      <c r="V4" s="3903" t="s">
        <v>741</v>
      </c>
      <c r="W4" s="3903"/>
      <c r="X4" s="1379"/>
      <c r="Y4" s="3916" t="s">
        <v>743</v>
      </c>
      <c r="Z4" s="3917"/>
      <c r="AA4" s="3905" t="s">
        <v>739</v>
      </c>
      <c r="AB4" s="3906" t="s">
        <v>740</v>
      </c>
      <c r="AC4" s="3905" t="s">
        <v>741</v>
      </c>
    </row>
    <row r="5" spans="1:29">
      <c r="A5" s="485"/>
      <c r="B5" s="486"/>
      <c r="C5" s="3924" t="s">
        <v>2192</v>
      </c>
      <c r="D5" s="3925"/>
      <c r="E5" s="3924" t="s">
        <v>2193</v>
      </c>
      <c r="F5" s="3925"/>
      <c r="G5" s="3924" t="s">
        <v>2194</v>
      </c>
      <c r="H5" s="3925"/>
      <c r="I5" s="3924" t="s">
        <v>2195</v>
      </c>
      <c r="J5" s="3925"/>
      <c r="K5" s="484"/>
      <c r="L5" s="1855"/>
      <c r="M5" s="1856"/>
      <c r="N5" s="1856"/>
      <c r="O5" s="1856"/>
      <c r="P5" s="3912"/>
      <c r="Q5" s="3913"/>
      <c r="R5" s="3918"/>
      <c r="S5" s="3919"/>
      <c r="T5" s="3918"/>
      <c r="U5" s="3919"/>
      <c r="V5" s="3903"/>
      <c r="W5" s="3903"/>
      <c r="X5" s="1379"/>
      <c r="Y5" s="3918"/>
      <c r="Z5" s="3919"/>
      <c r="AA5" s="3906"/>
      <c r="AB5" s="3906"/>
      <c r="AC5" s="3906"/>
    </row>
    <row r="6" spans="1:29" ht="15" thickBot="1">
      <c r="A6" s="487"/>
      <c r="B6" s="488"/>
      <c r="C6" s="3922" t="s">
        <v>2196</v>
      </c>
      <c r="D6" s="3923"/>
      <c r="E6" s="3926" t="s">
        <v>2196</v>
      </c>
      <c r="F6" s="3927"/>
      <c r="G6" s="3922" t="s">
        <v>2196</v>
      </c>
      <c r="H6" s="3923"/>
      <c r="I6" s="3922" t="s">
        <v>2196</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 thickBot="1">
      <c r="A7" s="2391"/>
      <c r="B7" s="2398" t="s">
        <v>478</v>
      </c>
      <c r="C7" s="489">
        <f>'数据-取费表'!B2</f>
        <v>45597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32" t="s">
        <v>479</v>
      </c>
      <c r="Q7" s="3934"/>
      <c r="R7" s="1380" t="s">
        <v>5</v>
      </c>
      <c r="S7" s="1381">
        <f t="shared" ref="S7:S14" si="0">F7</f>
        <v>0</v>
      </c>
      <c r="T7" s="1380" t="s">
        <v>5</v>
      </c>
      <c r="U7" s="1381">
        <f t="shared" ref="U7:U14" si="1">H7</f>
        <v>0</v>
      </c>
      <c r="V7" s="1380" t="s">
        <v>5</v>
      </c>
      <c r="W7" s="1381">
        <f t="shared" ref="W7:W14"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36" si="3">D8/F8</f>
        <v>#DIV/0!</v>
      </c>
      <c r="AB8" s="1383" t="e">
        <f t="shared" ref="AB8:AB36" si="4">D8/H8</f>
        <v>#DIV/0!</v>
      </c>
      <c r="AC8" s="1383" t="e">
        <f t="shared" ref="AC8:AC36" si="5">D8/J8</f>
        <v>#DIV/0!</v>
      </c>
    </row>
    <row r="9" spans="1:29" s="1117"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2" t="s">
        <v>484</v>
      </c>
      <c r="Q9" s="1049" t="str">
        <f t="shared" ref="Q9:Q14" si="6">B9</f>
        <v>用途</v>
      </c>
      <c r="R9" s="1380" t="s">
        <v>5</v>
      </c>
      <c r="S9" s="1381">
        <f t="shared" si="0"/>
        <v>100</v>
      </c>
      <c r="T9" s="1380" t="s">
        <v>5</v>
      </c>
      <c r="U9" s="1381">
        <f t="shared" si="1"/>
        <v>100</v>
      </c>
      <c r="V9" s="1380" t="s">
        <v>5</v>
      </c>
      <c r="W9" s="1381">
        <f t="shared" si="2"/>
        <v>100</v>
      </c>
      <c r="X9" s="1382"/>
      <c r="Y9" s="3846"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2"/>
      <c r="Q11" s="1049">
        <f t="shared" si="6"/>
        <v>111</v>
      </c>
      <c r="R11" s="1380" t="s">
        <v>5</v>
      </c>
      <c r="S11" s="1381">
        <f t="shared" si="0"/>
        <v>100</v>
      </c>
      <c r="T11" s="1380" t="s">
        <v>5</v>
      </c>
      <c r="U11" s="1381">
        <f t="shared" si="1"/>
        <v>100</v>
      </c>
      <c r="V11" s="1380" t="s">
        <v>5</v>
      </c>
      <c r="W11" s="1381">
        <f t="shared" si="2"/>
        <v>100</v>
      </c>
      <c r="X11" s="1382"/>
      <c r="Y11" s="3846"/>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46"/>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46"/>
      <c r="Z13" s="1048">
        <f t="shared" si="7"/>
        <v>111</v>
      </c>
      <c r="AA13" s="1383">
        <f t="shared" si="3"/>
        <v>1</v>
      </c>
      <c r="AB13" s="1383">
        <f t="shared" si="4"/>
        <v>1</v>
      </c>
      <c r="AC13" s="1383">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35" t="s">
        <v>489</v>
      </c>
      <c r="Q14" s="1384" t="str">
        <f t="shared" si="6"/>
        <v>交通便捷度</v>
      </c>
      <c r="R14" s="1385" t="s">
        <v>5</v>
      </c>
      <c r="S14" s="1386">
        <f t="shared" si="0"/>
        <v>100</v>
      </c>
      <c r="T14" s="1385" t="s">
        <v>5</v>
      </c>
      <c r="U14" s="1386">
        <f t="shared" si="1"/>
        <v>100</v>
      </c>
      <c r="V14" s="1385" t="s">
        <v>5</v>
      </c>
      <c r="W14" s="1386">
        <f t="shared" si="2"/>
        <v>100</v>
      </c>
      <c r="X14" s="1379"/>
      <c r="Y14" s="3935"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36"/>
      <c r="Q15" s="1384"/>
      <c r="R15" s="1385"/>
      <c r="S15" s="1386"/>
      <c r="T15" s="1385"/>
      <c r="U15" s="1386"/>
      <c r="V15" s="1385"/>
      <c r="W15" s="1386"/>
      <c r="X15" s="1379"/>
      <c r="Y15" s="3936"/>
      <c r="Z15" s="1387"/>
      <c r="AA15" s="1388">
        <v>1</v>
      </c>
      <c r="AB15" s="1388">
        <v>1</v>
      </c>
      <c r="AC15" s="1388">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36"/>
      <c r="Q16" s="1384" t="str">
        <f>B16</f>
        <v>公共配套设施</v>
      </c>
      <c r="R16" s="1385" t="s">
        <v>5</v>
      </c>
      <c r="S16" s="1386">
        <f>F16</f>
        <v>100</v>
      </c>
      <c r="T16" s="1385" t="s">
        <v>5</v>
      </c>
      <c r="U16" s="1386">
        <f>H16</f>
        <v>100</v>
      </c>
      <c r="V16" s="1385" t="s">
        <v>5</v>
      </c>
      <c r="W16" s="1386">
        <f>J16</f>
        <v>100</v>
      </c>
      <c r="X16" s="1379"/>
      <c r="Y16" s="3936"/>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36"/>
      <c r="Q17" s="1384"/>
      <c r="R17" s="1385"/>
      <c r="S17" s="1386"/>
      <c r="T17" s="1385"/>
      <c r="U17" s="1386"/>
      <c r="V17" s="1385"/>
      <c r="W17" s="1386"/>
      <c r="X17" s="1379"/>
      <c r="Y17" s="3936"/>
      <c r="Z17" s="1387"/>
      <c r="AA17" s="1388">
        <v>1</v>
      </c>
      <c r="AB17" s="1388">
        <v>1</v>
      </c>
      <c r="AC17" s="1388">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36"/>
      <c r="Q18" s="2192" t="str">
        <f>B18</f>
        <v>基础设施水平</v>
      </c>
      <c r="R18" s="1385" t="s">
        <v>5</v>
      </c>
      <c r="S18" s="1386">
        <f>F18</f>
        <v>100</v>
      </c>
      <c r="T18" s="1385" t="s">
        <v>5</v>
      </c>
      <c r="U18" s="1386">
        <f>H18</f>
        <v>100</v>
      </c>
      <c r="V18" s="1385" t="s">
        <v>5</v>
      </c>
      <c r="W18" s="1386">
        <f>J18</f>
        <v>100</v>
      </c>
      <c r="X18" s="2194"/>
      <c r="Y18" s="3936"/>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36"/>
      <c r="Q19" s="2192"/>
      <c r="R19" s="1385"/>
      <c r="S19" s="1386"/>
      <c r="T19" s="1385"/>
      <c r="U19" s="1386"/>
      <c r="V19" s="1385"/>
      <c r="W19" s="1386"/>
      <c r="X19" s="2194"/>
      <c r="Y19" s="3936"/>
      <c r="Z19" s="2193"/>
      <c r="AA19" s="1388">
        <v>1</v>
      </c>
      <c r="AB19" s="1388">
        <v>1</v>
      </c>
      <c r="AC19" s="1388">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36"/>
      <c r="Q20" s="1384" t="str">
        <f>B20</f>
        <v>自然及人文环境</v>
      </c>
      <c r="R20" s="1385" t="s">
        <v>5</v>
      </c>
      <c r="S20" s="1386">
        <f>F20</f>
        <v>100</v>
      </c>
      <c r="T20" s="1385" t="s">
        <v>5</v>
      </c>
      <c r="U20" s="1386">
        <f>H20</f>
        <v>100</v>
      </c>
      <c r="V20" s="1385" t="s">
        <v>5</v>
      </c>
      <c r="W20" s="1386">
        <f>J20</f>
        <v>100</v>
      </c>
      <c r="X20" s="1379"/>
      <c r="Y20" s="3936"/>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36"/>
      <c r="Q21" s="1384"/>
      <c r="R21" s="1385"/>
      <c r="S21" s="1386"/>
      <c r="T21" s="1385"/>
      <c r="U21" s="1386"/>
      <c r="V21" s="1385"/>
      <c r="W21" s="1386"/>
      <c r="X21" s="1379"/>
      <c r="Y21" s="3936"/>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36"/>
      <c r="Q22" s="1384" t="str">
        <f>B22</f>
        <v>楼层</v>
      </c>
      <c r="R22" s="1385" t="s">
        <v>5</v>
      </c>
      <c r="S22" s="1386">
        <f>F22</f>
        <v>100</v>
      </c>
      <c r="T22" s="1385" t="s">
        <v>5</v>
      </c>
      <c r="U22" s="1386">
        <f>H22</f>
        <v>100</v>
      </c>
      <c r="V22" s="1385" t="s">
        <v>5</v>
      </c>
      <c r="W22" s="1386">
        <f>J22</f>
        <v>100</v>
      </c>
      <c r="X22" s="1379"/>
      <c r="Y22" s="3936"/>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36"/>
      <c r="Q23" s="1384">
        <f>B23</f>
        <v>111</v>
      </c>
      <c r="R23" s="1385" t="s">
        <v>5</v>
      </c>
      <c r="S23" s="1386">
        <f>F23</f>
        <v>100</v>
      </c>
      <c r="T23" s="1385" t="s">
        <v>5</v>
      </c>
      <c r="U23" s="1386">
        <f>H23</f>
        <v>100</v>
      </c>
      <c r="V23" s="1385" t="s">
        <v>5</v>
      </c>
      <c r="W23" s="1386">
        <f>J23</f>
        <v>100</v>
      </c>
      <c r="X23" s="1379"/>
      <c r="Y23" s="3936"/>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36"/>
      <c r="Q24" s="1384">
        <f t="shared" ref="Q24:Q36" si="8">B24</f>
        <v>111</v>
      </c>
      <c r="R24" s="1385" t="s">
        <v>5</v>
      </c>
      <c r="S24" s="1386">
        <f>F24</f>
        <v>100</v>
      </c>
      <c r="T24" s="1385" t="s">
        <v>5</v>
      </c>
      <c r="U24" s="1386">
        <f>H24</f>
        <v>100</v>
      </c>
      <c r="V24" s="1385" t="s">
        <v>5</v>
      </c>
      <c r="W24" s="1386">
        <f>J24</f>
        <v>100</v>
      </c>
      <c r="X24" s="1379"/>
      <c r="Y24" s="3936"/>
      <c r="Z24" s="1387">
        <f>Q24</f>
        <v>111</v>
      </c>
      <c r="AA24" s="1388">
        <f t="shared" si="3"/>
        <v>1</v>
      </c>
      <c r="AB24" s="1388">
        <f t="shared" si="4"/>
        <v>1</v>
      </c>
      <c r="AC24" s="1388">
        <f t="shared" si="5"/>
        <v>1</v>
      </c>
    </row>
    <row r="25" spans="1:29" s="1117"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36"/>
      <c r="Q25" s="1049">
        <f t="shared" si="8"/>
        <v>111</v>
      </c>
      <c r="R25" s="1380" t="s">
        <v>5</v>
      </c>
      <c r="S25" s="1381">
        <f>F25</f>
        <v>100</v>
      </c>
      <c r="T25" s="1380" t="s">
        <v>5</v>
      </c>
      <c r="U25" s="1381">
        <f>H25</f>
        <v>100</v>
      </c>
      <c r="V25" s="1380" t="s">
        <v>5</v>
      </c>
      <c r="W25" s="1381">
        <f>J25</f>
        <v>100</v>
      </c>
      <c r="X25" s="1382"/>
      <c r="Y25" s="3936"/>
      <c r="Z25" s="1048">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37"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38" t="s">
        <v>499</v>
      </c>
      <c r="Z26" s="1387" t="str">
        <f t="shared" ref="Z26:Z36" si="12">Q26</f>
        <v>配套类型</v>
      </c>
      <c r="AA26" s="1388">
        <f t="shared" si="3"/>
        <v>1</v>
      </c>
      <c r="AB26" s="1388">
        <f t="shared" si="4"/>
        <v>1</v>
      </c>
      <c r="AC26" s="1388">
        <f t="shared" si="5"/>
        <v>1</v>
      </c>
    </row>
    <row r="27" spans="1:29" s="1199"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8"/>
      <c r="Q27" s="1413" t="str">
        <f t="shared" si="8"/>
        <v>项目停车位配比</v>
      </c>
      <c r="R27" s="1389" t="s">
        <v>5</v>
      </c>
      <c r="S27" s="1390">
        <f t="shared" si="9"/>
        <v>100</v>
      </c>
      <c r="T27" s="1389" t="s">
        <v>5</v>
      </c>
      <c r="U27" s="1390">
        <f t="shared" si="10"/>
        <v>100</v>
      </c>
      <c r="V27" s="1389" t="s">
        <v>5</v>
      </c>
      <c r="W27" s="1390">
        <f t="shared" si="11"/>
        <v>100</v>
      </c>
      <c r="X27" s="1391"/>
      <c r="Y27" s="3938"/>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8"/>
      <c r="Q28" s="1384" t="str">
        <f t="shared" si="8"/>
        <v>公共部分装修</v>
      </c>
      <c r="R28" s="1385" t="s">
        <v>5</v>
      </c>
      <c r="S28" s="1386">
        <f t="shared" si="9"/>
        <v>100</v>
      </c>
      <c r="T28" s="1385" t="s">
        <v>5</v>
      </c>
      <c r="U28" s="1386">
        <f t="shared" si="10"/>
        <v>100</v>
      </c>
      <c r="V28" s="1385" t="s">
        <v>5</v>
      </c>
      <c r="W28" s="1386">
        <f t="shared" si="11"/>
        <v>100</v>
      </c>
      <c r="X28" s="1379"/>
      <c r="Y28" s="3938"/>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8"/>
      <c r="Q29" s="1384" t="str">
        <f t="shared" si="8"/>
        <v>成新率</v>
      </c>
      <c r="R29" s="1385" t="s">
        <v>5</v>
      </c>
      <c r="S29" s="1386" t="e">
        <f t="shared" si="9"/>
        <v>#N/A</v>
      </c>
      <c r="T29" s="1385" t="s">
        <v>5</v>
      </c>
      <c r="U29" s="1386" t="e">
        <f t="shared" si="10"/>
        <v>#N/A</v>
      </c>
      <c r="V29" s="1385" t="s">
        <v>5</v>
      </c>
      <c r="W29" s="1386" t="e">
        <f t="shared" si="11"/>
        <v>#N/A</v>
      </c>
      <c r="X29" s="1379"/>
      <c r="Y29" s="3938"/>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8"/>
      <c r="Q30" s="1384" t="str">
        <f t="shared" si="8"/>
        <v>物业等级</v>
      </c>
      <c r="R30" s="1385" t="s">
        <v>5</v>
      </c>
      <c r="S30" s="1386">
        <f t="shared" si="9"/>
        <v>100</v>
      </c>
      <c r="T30" s="1385" t="s">
        <v>5</v>
      </c>
      <c r="U30" s="1386">
        <f t="shared" si="10"/>
        <v>100</v>
      </c>
      <c r="V30" s="1385" t="s">
        <v>5</v>
      </c>
      <c r="W30" s="1386">
        <f t="shared" si="11"/>
        <v>100</v>
      </c>
      <c r="X30" s="1379"/>
      <c r="Y30" s="3938"/>
      <c r="Z30" s="1387" t="str">
        <f t="shared" si="12"/>
        <v>物业等级</v>
      </c>
      <c r="AA30" s="1388">
        <f t="shared" si="3"/>
        <v>1</v>
      </c>
      <c r="AB30" s="1388">
        <f t="shared" si="4"/>
        <v>1</v>
      </c>
      <c r="AC30" s="1388">
        <f t="shared" si="5"/>
        <v>1</v>
      </c>
    </row>
    <row r="31" spans="1:29" s="1117"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8"/>
      <c r="Q31" s="1049" t="str">
        <f t="shared" si="8"/>
        <v>停车位面积</v>
      </c>
      <c r="R31" s="1380" t="s">
        <v>5</v>
      </c>
      <c r="S31" s="1381" t="e">
        <f t="shared" si="9"/>
        <v>#N/A</v>
      </c>
      <c r="T31" s="1380" t="s">
        <v>5</v>
      </c>
      <c r="U31" s="1381" t="e">
        <f t="shared" si="10"/>
        <v>#N/A</v>
      </c>
      <c r="V31" s="1380" t="s">
        <v>5</v>
      </c>
      <c r="W31" s="1381" t="e">
        <f t="shared" si="11"/>
        <v>#N/A</v>
      </c>
      <c r="X31" s="1382"/>
      <c r="Y31" s="3938"/>
      <c r="Z31" s="1048"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8" t="s">
        <v>499</v>
      </c>
      <c r="Q32" s="1384" t="str">
        <f t="shared" si="8"/>
        <v>车位类型</v>
      </c>
      <c r="R32" s="1385" t="s">
        <v>5</v>
      </c>
      <c r="S32" s="1386">
        <f t="shared" si="9"/>
        <v>100</v>
      </c>
      <c r="T32" s="1385" t="s">
        <v>5</v>
      </c>
      <c r="U32" s="1386">
        <f t="shared" si="10"/>
        <v>100</v>
      </c>
      <c r="V32" s="1385" t="s">
        <v>5</v>
      </c>
      <c r="W32" s="1386">
        <f t="shared" si="11"/>
        <v>100</v>
      </c>
      <c r="X32" s="1379"/>
      <c r="Y32" s="3938"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8"/>
      <c r="Q33" s="1384" t="str">
        <f t="shared" si="8"/>
        <v>是否直接入户</v>
      </c>
      <c r="R33" s="1385" t="s">
        <v>5</v>
      </c>
      <c r="S33" s="1386">
        <f t="shared" si="9"/>
        <v>100</v>
      </c>
      <c r="T33" s="1385" t="s">
        <v>5</v>
      </c>
      <c r="U33" s="1386">
        <f t="shared" si="10"/>
        <v>100</v>
      </c>
      <c r="V33" s="1385" t="s">
        <v>5</v>
      </c>
      <c r="W33" s="1386">
        <f t="shared" si="11"/>
        <v>100</v>
      </c>
      <c r="X33" s="1379"/>
      <c r="Y33" s="3938"/>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8"/>
      <c r="Q34" s="1384">
        <f t="shared" si="8"/>
        <v>111</v>
      </c>
      <c r="R34" s="1385" t="s">
        <v>5</v>
      </c>
      <c r="S34" s="1386">
        <f t="shared" si="9"/>
        <v>100</v>
      </c>
      <c r="T34" s="1385" t="s">
        <v>5</v>
      </c>
      <c r="U34" s="1386">
        <f t="shared" si="10"/>
        <v>100</v>
      </c>
      <c r="V34" s="1385" t="s">
        <v>5</v>
      </c>
      <c r="W34" s="1386">
        <f t="shared" si="11"/>
        <v>100</v>
      </c>
      <c r="X34" s="1379"/>
      <c r="Y34" s="3938"/>
      <c r="Z34" s="1387">
        <f t="shared" si="12"/>
        <v>111</v>
      </c>
      <c r="AA34" s="1388">
        <f t="shared" si="3"/>
        <v>1</v>
      </c>
      <c r="AB34" s="1388">
        <f t="shared" si="4"/>
        <v>1</v>
      </c>
      <c r="AC34" s="1388">
        <f t="shared" si="5"/>
        <v>1</v>
      </c>
    </row>
    <row r="35" spans="1:29" s="1199"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8"/>
      <c r="Q35" s="1413">
        <f t="shared" si="8"/>
        <v>111</v>
      </c>
      <c r="R35" s="1389" t="s">
        <v>5</v>
      </c>
      <c r="S35" s="1390">
        <f t="shared" si="9"/>
        <v>100</v>
      </c>
      <c r="T35" s="1389" t="s">
        <v>5</v>
      </c>
      <c r="U35" s="1390">
        <f t="shared" si="10"/>
        <v>100</v>
      </c>
      <c r="V35" s="1389" t="s">
        <v>5</v>
      </c>
      <c r="W35" s="1390">
        <f t="shared" si="11"/>
        <v>100</v>
      </c>
      <c r="X35" s="1391"/>
      <c r="Y35" s="3938"/>
      <c r="Z35" s="1392">
        <f t="shared" si="12"/>
        <v>111</v>
      </c>
      <c r="AA35" s="1388">
        <f t="shared" si="3"/>
        <v>1</v>
      </c>
      <c r="AB35" s="1388">
        <f t="shared" si="4"/>
        <v>1</v>
      </c>
      <c r="AC35" s="1388">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8"/>
      <c r="Q36" s="1384">
        <f t="shared" si="8"/>
        <v>111</v>
      </c>
      <c r="R36" s="1385" t="s">
        <v>5</v>
      </c>
      <c r="S36" s="1386">
        <f t="shared" si="9"/>
        <v>100</v>
      </c>
      <c r="T36" s="1385" t="s">
        <v>5</v>
      </c>
      <c r="U36" s="1386">
        <f t="shared" si="10"/>
        <v>100</v>
      </c>
      <c r="V36" s="1385" t="s">
        <v>5</v>
      </c>
      <c r="W36" s="1386">
        <f t="shared" si="11"/>
        <v>100</v>
      </c>
      <c r="X36" s="1379"/>
      <c r="Y36" s="3938"/>
      <c r="Z36" s="1387">
        <f t="shared" si="12"/>
        <v>111</v>
      </c>
      <c r="AA36" s="1388">
        <f t="shared" si="3"/>
        <v>1</v>
      </c>
      <c r="AB36" s="1388">
        <f t="shared" si="4"/>
        <v>1</v>
      </c>
      <c r="AC36" s="1388">
        <f t="shared" si="5"/>
        <v>1</v>
      </c>
    </row>
    <row r="37" spans="1:29" ht="14.4">
      <c r="A37" s="1631" t="s">
        <v>1595</v>
      </c>
      <c r="B37" s="1632" t="s">
        <v>1596</v>
      </c>
      <c r="C37" s="2233" t="s">
        <v>0</v>
      </c>
      <c r="D37" s="2234"/>
      <c r="E37" s="2235"/>
      <c r="F37" s="2236"/>
      <c r="G37" s="2237"/>
      <c r="H37" s="2238"/>
      <c r="I37" s="2235"/>
      <c r="J37" s="2238"/>
      <c r="K37" s="1418"/>
      <c r="L37" s="1866"/>
      <c r="M37" s="1867"/>
      <c r="N37" s="1856"/>
      <c r="O37" s="1867"/>
      <c r="P37" s="3902" t="str">
        <f>A37</f>
        <v>成交单价</v>
      </c>
      <c r="Q37" s="3902"/>
      <c r="R37" s="4030">
        <f>E37</f>
        <v>0</v>
      </c>
      <c r="S37" s="4030"/>
      <c r="T37" s="4030">
        <f>G37</f>
        <v>0</v>
      </c>
      <c r="U37" s="4030"/>
      <c r="V37" s="4030">
        <f>I37</f>
        <v>0</v>
      </c>
      <c r="W37" s="4030"/>
      <c r="X37" s="1374"/>
      <c r="Y37" s="1393"/>
      <c r="Z37" s="1374"/>
      <c r="AA37" s="1374"/>
      <c r="AB37" s="1374"/>
      <c r="AC37" s="1374"/>
    </row>
    <row r="38" spans="1:29" ht="15" thickBot="1">
      <c r="A38" s="585" t="s">
        <v>2042</v>
      </c>
      <c r="B38" s="851"/>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902" t="str">
        <f>A38</f>
        <v>比较价格（元/平方米）</v>
      </c>
      <c r="Q38" s="3902"/>
      <c r="R38" s="4030" t="e">
        <f>IF(F1="售价",ROUND(PRODUCT(R37,AA7:AA36),0),ROUND(PRODUCT(R37,AA7:AA36),1))</f>
        <v>#DIV/0!</v>
      </c>
      <c r="S38" s="4030"/>
      <c r="T38" s="4030" t="e">
        <f>IF(F1="售价",ROUND(PRODUCT(T37,AB7:AB36),0),ROUND(PRODUCT(T37,AB7:AB36),1))</f>
        <v>#DIV/0!</v>
      </c>
      <c r="U38" s="4030"/>
      <c r="V38" s="4030" t="e">
        <f>IF(F1="售价",ROUND(PRODUCT(V37,AC7:AC36),0),ROUND(PRODUCT(V37,AC7:AC36),1))</f>
        <v>#DIV/0!</v>
      </c>
      <c r="W38" s="4030"/>
      <c r="X38" s="1374"/>
      <c r="Y38" s="1374"/>
      <c r="Z38" s="1374"/>
      <c r="AA38" s="1374"/>
      <c r="AB38" s="1374"/>
      <c r="AC38" s="1374"/>
    </row>
    <row r="39" spans="1:29" ht="15" thickBot="1">
      <c r="A39" s="589" t="s">
        <v>2198</v>
      </c>
      <c r="B39" s="590"/>
      <c r="C39" s="2241" t="e">
        <f>R39</f>
        <v>#DIV/0!</v>
      </c>
      <c r="D39" s="2241"/>
      <c r="E39" s="2241"/>
      <c r="F39" s="2241"/>
      <c r="G39" s="2241"/>
      <c r="H39" s="2241"/>
      <c r="I39" s="2241"/>
      <c r="J39" s="2241"/>
      <c r="K39" s="1419"/>
      <c r="L39" s="1866"/>
      <c r="M39" s="1867"/>
      <c r="N39" s="1867"/>
      <c r="O39" s="1867"/>
      <c r="P39" s="3939" t="str">
        <f>A39</f>
        <v>估价对象XX用房的比较价格（楼面单价，元/平方米）</v>
      </c>
      <c r="Q39" s="3940"/>
      <c r="R39" s="4029" t="e">
        <f>IF(F1="售价",ROUND(IF(D38="简单平均",AVERAGE(R38:W38),R38*F38+T38*H38+V38*J38),0),ROUND(IF(D38="简单平均",AVERAGE(R38:V38),R38*F38+T38*H38+V38*J38),1))</f>
        <v>#DIV/0!</v>
      </c>
      <c r="S39" s="4029"/>
      <c r="T39" s="4029"/>
      <c r="U39" s="4029"/>
      <c r="V39" s="4029"/>
      <c r="W39" s="4029"/>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2024-11</v>
      </c>
      <c r="D48" s="2283">
        <f>EDATE(C48,-1)</f>
        <v>45566</v>
      </c>
      <c r="E48" s="2283">
        <f t="shared" ref="E48:O48" si="13">EDATE(D48,-1)</f>
        <v>45536</v>
      </c>
      <c r="F48" s="2283">
        <f t="shared" si="13"/>
        <v>45505</v>
      </c>
      <c r="G48" s="2283">
        <f t="shared" si="13"/>
        <v>45474</v>
      </c>
      <c r="H48" s="2283">
        <f t="shared" si="13"/>
        <v>45444</v>
      </c>
      <c r="I48" s="2283">
        <f t="shared" si="13"/>
        <v>45413</v>
      </c>
      <c r="J48" s="2283">
        <f t="shared" si="13"/>
        <v>45383</v>
      </c>
      <c r="K48" s="2283">
        <f t="shared" si="13"/>
        <v>45352</v>
      </c>
      <c r="L48" s="2283">
        <f t="shared" si="13"/>
        <v>45323</v>
      </c>
      <c r="M48" s="2283">
        <f t="shared" si="13"/>
        <v>45292</v>
      </c>
      <c r="N48" s="2283">
        <f t="shared" si="13"/>
        <v>45261</v>
      </c>
      <c r="O48" s="2283">
        <f t="shared" si="13"/>
        <v>45231</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4.4"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8" t="s">
        <v>738</v>
      </c>
      <c r="D4" s="3909"/>
      <c r="E4" s="3944" t="s">
        <v>739</v>
      </c>
      <c r="F4" s="3945"/>
      <c r="G4" s="3908" t="s">
        <v>740</v>
      </c>
      <c r="H4" s="3909"/>
      <c r="I4" s="3908" t="s">
        <v>741</v>
      </c>
      <c r="J4" s="3909"/>
      <c r="K4" s="484" t="s">
        <v>742</v>
      </c>
      <c r="L4" s="1855"/>
      <c r="M4" s="1856"/>
      <c r="N4" s="1856"/>
      <c r="O4" s="1856"/>
      <c r="P4" s="3910" t="s">
        <v>743</v>
      </c>
      <c r="Q4" s="3911"/>
      <c r="R4" s="3916" t="s">
        <v>739</v>
      </c>
      <c r="S4" s="3917"/>
      <c r="T4" s="3916" t="s">
        <v>740</v>
      </c>
      <c r="U4" s="3917"/>
      <c r="V4" s="3903" t="s">
        <v>741</v>
      </c>
      <c r="W4" s="3903"/>
      <c r="X4" s="1379"/>
      <c r="Y4" s="3916" t="s">
        <v>743</v>
      </c>
      <c r="Z4" s="3917"/>
      <c r="AA4" s="3905" t="s">
        <v>739</v>
      </c>
      <c r="AB4" s="3906" t="s">
        <v>740</v>
      </c>
      <c r="AC4" s="3905" t="s">
        <v>741</v>
      </c>
    </row>
    <row r="5" spans="1:29">
      <c r="A5" s="485"/>
      <c r="B5" s="486"/>
      <c r="C5" s="3924" t="s">
        <v>2192</v>
      </c>
      <c r="D5" s="3925"/>
      <c r="E5" s="3946" t="s">
        <v>2193</v>
      </c>
      <c r="F5" s="3947"/>
      <c r="G5" s="3924" t="s">
        <v>2194</v>
      </c>
      <c r="H5" s="3925"/>
      <c r="I5" s="3924" t="s">
        <v>2195</v>
      </c>
      <c r="J5" s="3925"/>
      <c r="K5" s="484"/>
      <c r="L5" s="1855"/>
      <c r="M5" s="1856"/>
      <c r="N5" s="1856"/>
      <c r="O5" s="1856"/>
      <c r="P5" s="3912"/>
      <c r="Q5" s="3913"/>
      <c r="R5" s="3918"/>
      <c r="S5" s="3919"/>
      <c r="T5" s="3918"/>
      <c r="U5" s="3919"/>
      <c r="V5" s="3903"/>
      <c r="W5" s="3903"/>
      <c r="X5" s="1379"/>
      <c r="Y5" s="3918"/>
      <c r="Z5" s="3919"/>
      <c r="AA5" s="3906"/>
      <c r="AB5" s="3906"/>
      <c r="AC5" s="3906"/>
    </row>
    <row r="6" spans="1:29" ht="15" thickBot="1">
      <c r="A6" s="487"/>
      <c r="B6" s="488"/>
      <c r="C6" s="3922" t="s">
        <v>2196</v>
      </c>
      <c r="D6" s="3923"/>
      <c r="E6" s="3942" t="s">
        <v>2196</v>
      </c>
      <c r="F6" s="3943"/>
      <c r="G6" s="3922" t="s">
        <v>2196</v>
      </c>
      <c r="H6" s="3923"/>
      <c r="I6" s="3922" t="s">
        <v>2196</v>
      </c>
      <c r="J6" s="3923"/>
      <c r="K6" s="484" t="s">
        <v>477</v>
      </c>
      <c r="L6" s="1855"/>
      <c r="M6" s="1856"/>
      <c r="N6" s="1856"/>
      <c r="O6" s="1856"/>
      <c r="P6" s="3914"/>
      <c r="Q6" s="3915"/>
      <c r="R6" s="3918"/>
      <c r="S6" s="3919"/>
      <c r="T6" s="3920"/>
      <c r="U6" s="3921"/>
      <c r="V6" s="3903"/>
      <c r="W6" s="3903"/>
      <c r="X6" s="1379"/>
      <c r="Y6" s="3920"/>
      <c r="Z6" s="3921"/>
      <c r="AA6" s="3907"/>
      <c r="AB6" s="3907"/>
      <c r="AC6" s="3907"/>
    </row>
    <row r="7" spans="1:29" s="1117" customFormat="1" ht="15" thickBot="1">
      <c r="A7" s="2391"/>
      <c r="B7" s="2398" t="s">
        <v>478</v>
      </c>
      <c r="C7" s="489">
        <f>'数据-取费表'!B2</f>
        <v>45597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32" t="s">
        <v>479</v>
      </c>
      <c r="Q7" s="3934"/>
      <c r="R7" s="1380" t="s">
        <v>5</v>
      </c>
      <c r="S7" s="1381">
        <f t="shared" ref="S7:S14" si="0">F7</f>
        <v>0</v>
      </c>
      <c r="T7" s="1380" t="s">
        <v>5</v>
      </c>
      <c r="U7" s="1381">
        <f t="shared" ref="U7:U14" si="1">H7</f>
        <v>0</v>
      </c>
      <c r="V7" s="1380" t="s">
        <v>5</v>
      </c>
      <c r="W7" s="1381">
        <f t="shared" ref="W7:W14" si="2">J7</f>
        <v>0</v>
      </c>
      <c r="X7" s="1382"/>
      <c r="Y7" s="3932" t="s">
        <v>479</v>
      </c>
      <c r="Z7" s="3933"/>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32" t="s">
        <v>482</v>
      </c>
      <c r="Q8" s="3933"/>
      <c r="R8" s="1380" t="s">
        <v>5</v>
      </c>
      <c r="S8" s="1381">
        <f t="shared" si="0"/>
        <v>0</v>
      </c>
      <c r="T8" s="1380" t="s">
        <v>5</v>
      </c>
      <c r="U8" s="1381">
        <f t="shared" si="1"/>
        <v>0</v>
      </c>
      <c r="V8" s="1380" t="s">
        <v>5</v>
      </c>
      <c r="W8" s="1381">
        <f t="shared" si="2"/>
        <v>0</v>
      </c>
      <c r="X8" s="1382"/>
      <c r="Y8" s="3932" t="s">
        <v>482</v>
      </c>
      <c r="Z8" s="3933"/>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2" t="s">
        <v>484</v>
      </c>
      <c r="Q9" s="1049" t="str">
        <f t="shared" ref="Q9:Q14" si="6">B9</f>
        <v>用途</v>
      </c>
      <c r="R9" s="1380" t="s">
        <v>5</v>
      </c>
      <c r="S9" s="1381">
        <f t="shared" si="0"/>
        <v>100</v>
      </c>
      <c r="T9" s="1380" t="s">
        <v>5</v>
      </c>
      <c r="U9" s="1381">
        <f t="shared" si="1"/>
        <v>100</v>
      </c>
      <c r="V9" s="1380" t="s">
        <v>5</v>
      </c>
      <c r="W9" s="1381">
        <f t="shared" si="2"/>
        <v>100</v>
      </c>
      <c r="X9" s="1382"/>
      <c r="Y9" s="3846"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02"/>
      <c r="Q10" s="1049" t="str">
        <f t="shared" si="6"/>
        <v>土地使用年限（年）</v>
      </c>
      <c r="R10" s="1380" t="s">
        <v>5</v>
      </c>
      <c r="S10" s="1381">
        <f t="shared" si="0"/>
        <v>100</v>
      </c>
      <c r="T10" s="1380" t="s">
        <v>5</v>
      </c>
      <c r="U10" s="1381">
        <f t="shared" si="1"/>
        <v>100</v>
      </c>
      <c r="V10" s="1380" t="s">
        <v>5</v>
      </c>
      <c r="W10" s="1381">
        <f t="shared" si="2"/>
        <v>100</v>
      </c>
      <c r="X10" s="1382"/>
      <c r="Y10" s="3846"/>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2"/>
      <c r="Q11" s="1049">
        <f t="shared" si="6"/>
        <v>111</v>
      </c>
      <c r="R11" s="1380" t="s">
        <v>5</v>
      </c>
      <c r="S11" s="1381">
        <f t="shared" si="0"/>
        <v>100</v>
      </c>
      <c r="T11" s="1380" t="s">
        <v>5</v>
      </c>
      <c r="U11" s="1381">
        <f t="shared" si="1"/>
        <v>100</v>
      </c>
      <c r="V11" s="1380" t="s">
        <v>5</v>
      </c>
      <c r="W11" s="1381">
        <f t="shared" si="2"/>
        <v>100</v>
      </c>
      <c r="X11" s="1382"/>
      <c r="Y11" s="3846"/>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2"/>
      <c r="Q12" s="1049">
        <f t="shared" si="6"/>
        <v>111</v>
      </c>
      <c r="R12" s="1380" t="s">
        <v>5</v>
      </c>
      <c r="S12" s="1381">
        <f t="shared" si="0"/>
        <v>100</v>
      </c>
      <c r="T12" s="1380" t="s">
        <v>5</v>
      </c>
      <c r="U12" s="1381">
        <f t="shared" si="1"/>
        <v>100</v>
      </c>
      <c r="V12" s="1380" t="s">
        <v>5</v>
      </c>
      <c r="W12" s="1381">
        <f t="shared" si="2"/>
        <v>100</v>
      </c>
      <c r="X12" s="1382"/>
      <c r="Y12" s="3846"/>
      <c r="Z12" s="1048">
        <f t="shared" si="7"/>
        <v>111</v>
      </c>
      <c r="AA12" s="1383">
        <f>D12/F12</f>
        <v>1</v>
      </c>
      <c r="AB12" s="1383">
        <f>D12/H12</f>
        <v>1</v>
      </c>
      <c r="AC12" s="1383">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2"/>
      <c r="Q13" s="1049">
        <f t="shared" si="6"/>
        <v>111</v>
      </c>
      <c r="R13" s="1380" t="s">
        <v>5</v>
      </c>
      <c r="S13" s="1381">
        <f t="shared" si="0"/>
        <v>100</v>
      </c>
      <c r="T13" s="1380" t="s">
        <v>5</v>
      </c>
      <c r="U13" s="1381">
        <f t="shared" si="1"/>
        <v>100</v>
      </c>
      <c r="V13" s="1380" t="s">
        <v>5</v>
      </c>
      <c r="W13" s="1381">
        <f t="shared" si="2"/>
        <v>100</v>
      </c>
      <c r="X13" s="1382"/>
      <c r="Y13" s="3846"/>
      <c r="Z13" s="1048">
        <f t="shared" si="7"/>
        <v>111</v>
      </c>
      <c r="AA13" s="1383">
        <f t="shared" si="3"/>
        <v>1</v>
      </c>
      <c r="AB13" s="1383">
        <f t="shared" si="4"/>
        <v>1</v>
      </c>
      <c r="AC13" s="1383">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35" t="s">
        <v>489</v>
      </c>
      <c r="Q14" s="1384" t="str">
        <f t="shared" si="6"/>
        <v>交通便捷度</v>
      </c>
      <c r="R14" s="1385" t="s">
        <v>5</v>
      </c>
      <c r="S14" s="1386">
        <f t="shared" si="0"/>
        <v>100</v>
      </c>
      <c r="T14" s="1385" t="s">
        <v>5</v>
      </c>
      <c r="U14" s="1386">
        <f t="shared" si="1"/>
        <v>100</v>
      </c>
      <c r="V14" s="1385" t="s">
        <v>5</v>
      </c>
      <c r="W14" s="1386">
        <f t="shared" si="2"/>
        <v>100</v>
      </c>
      <c r="X14" s="1379"/>
      <c r="Y14" s="3935"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36"/>
      <c r="Q15" s="1384"/>
      <c r="R15" s="1385"/>
      <c r="S15" s="1386"/>
      <c r="T15" s="1385"/>
      <c r="U15" s="1386"/>
      <c r="V15" s="1385"/>
      <c r="W15" s="1386"/>
      <c r="X15" s="1379"/>
      <c r="Y15" s="3936"/>
      <c r="Z15" s="1387"/>
      <c r="AA15" s="1388">
        <v>1</v>
      </c>
      <c r="AB15" s="1388">
        <v>1</v>
      </c>
      <c r="AC15" s="1388">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36"/>
      <c r="Q16" s="1384" t="str">
        <f>B16</f>
        <v>公共配套设施</v>
      </c>
      <c r="R16" s="1385" t="s">
        <v>5</v>
      </c>
      <c r="S16" s="1386">
        <f>F16</f>
        <v>100</v>
      </c>
      <c r="T16" s="1385" t="s">
        <v>5</v>
      </c>
      <c r="U16" s="1386">
        <f>H16</f>
        <v>100</v>
      </c>
      <c r="V16" s="1385" t="s">
        <v>5</v>
      </c>
      <c r="W16" s="1386">
        <f>J16</f>
        <v>100</v>
      </c>
      <c r="X16" s="1379"/>
      <c r="Y16" s="3936"/>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36"/>
      <c r="Q17" s="1384"/>
      <c r="R17" s="1385"/>
      <c r="S17" s="1386"/>
      <c r="T17" s="1385"/>
      <c r="U17" s="1386"/>
      <c r="V17" s="1385"/>
      <c r="W17" s="1386"/>
      <c r="X17" s="1379"/>
      <c r="Y17" s="3936"/>
      <c r="Z17" s="1387"/>
      <c r="AA17" s="1388">
        <v>1</v>
      </c>
      <c r="AB17" s="1388">
        <v>1</v>
      </c>
      <c r="AC17" s="1388">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36"/>
      <c r="Q18" s="2192" t="str">
        <f>B18</f>
        <v>基础设施水平</v>
      </c>
      <c r="R18" s="1385" t="s">
        <v>5</v>
      </c>
      <c r="S18" s="1386">
        <f>F18</f>
        <v>100</v>
      </c>
      <c r="T18" s="1385" t="s">
        <v>5</v>
      </c>
      <c r="U18" s="1386">
        <f>H18</f>
        <v>100</v>
      </c>
      <c r="V18" s="1385" t="s">
        <v>5</v>
      </c>
      <c r="W18" s="1386">
        <f>J18</f>
        <v>100</v>
      </c>
      <c r="X18" s="2194"/>
      <c r="Y18" s="3936"/>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36"/>
      <c r="Q19" s="2192"/>
      <c r="R19" s="1385"/>
      <c r="S19" s="1386"/>
      <c r="T19" s="1385"/>
      <c r="U19" s="1386"/>
      <c r="V19" s="1385"/>
      <c r="W19" s="1386"/>
      <c r="X19" s="2194"/>
      <c r="Y19" s="3936"/>
      <c r="Z19" s="2193"/>
      <c r="AA19" s="1388">
        <v>1</v>
      </c>
      <c r="AB19" s="1388">
        <v>1</v>
      </c>
      <c r="AC19" s="1388">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36"/>
      <c r="Q20" s="1384" t="str">
        <f>B20</f>
        <v>自然及人文环境</v>
      </c>
      <c r="R20" s="1385" t="s">
        <v>5</v>
      </c>
      <c r="S20" s="1386">
        <f>F20</f>
        <v>100</v>
      </c>
      <c r="T20" s="1385" t="s">
        <v>5</v>
      </c>
      <c r="U20" s="1386">
        <f>H20</f>
        <v>100</v>
      </c>
      <c r="V20" s="1385" t="s">
        <v>5</v>
      </c>
      <c r="W20" s="1386">
        <f>J20</f>
        <v>100</v>
      </c>
      <c r="X20" s="1379"/>
      <c r="Y20" s="3936"/>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36"/>
      <c r="Q21" s="1384"/>
      <c r="R21" s="1385"/>
      <c r="S21" s="1386"/>
      <c r="T21" s="1385"/>
      <c r="U21" s="1386"/>
      <c r="V21" s="1385"/>
      <c r="W21" s="1386"/>
      <c r="X21" s="1379"/>
      <c r="Y21" s="3936"/>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36"/>
      <c r="Q22" s="1384" t="str">
        <f>B22</f>
        <v>楼层</v>
      </c>
      <c r="R22" s="1385" t="s">
        <v>5</v>
      </c>
      <c r="S22" s="1386">
        <f>F22</f>
        <v>100</v>
      </c>
      <c r="T22" s="1385" t="s">
        <v>5</v>
      </c>
      <c r="U22" s="1386">
        <f>H22</f>
        <v>100</v>
      </c>
      <c r="V22" s="1385" t="s">
        <v>5</v>
      </c>
      <c r="W22" s="1386">
        <f>J22</f>
        <v>100</v>
      </c>
      <c r="X22" s="1379"/>
      <c r="Y22" s="3936"/>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36"/>
      <c r="Q23" s="1384">
        <f>B23</f>
        <v>111</v>
      </c>
      <c r="R23" s="1385" t="s">
        <v>5</v>
      </c>
      <c r="S23" s="1386">
        <f>F23</f>
        <v>100</v>
      </c>
      <c r="T23" s="1385" t="s">
        <v>5</v>
      </c>
      <c r="U23" s="1386">
        <f>H23</f>
        <v>100</v>
      </c>
      <c r="V23" s="1385" t="s">
        <v>5</v>
      </c>
      <c r="W23" s="1386">
        <f>J23</f>
        <v>100</v>
      </c>
      <c r="X23" s="1379"/>
      <c r="Y23" s="3936"/>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36"/>
      <c r="Q24" s="1384">
        <f t="shared" ref="Q24:Q34" si="8">B24</f>
        <v>111</v>
      </c>
      <c r="R24" s="1385" t="s">
        <v>5</v>
      </c>
      <c r="S24" s="1386">
        <f>F24</f>
        <v>100</v>
      </c>
      <c r="T24" s="1385" t="s">
        <v>5</v>
      </c>
      <c r="U24" s="1386">
        <f>H24</f>
        <v>100</v>
      </c>
      <c r="V24" s="1385" t="s">
        <v>5</v>
      </c>
      <c r="W24" s="1386">
        <f>J24</f>
        <v>100</v>
      </c>
      <c r="X24" s="1379"/>
      <c r="Y24" s="3936"/>
      <c r="Z24" s="1387">
        <f>Q24</f>
        <v>111</v>
      </c>
      <c r="AA24" s="1388">
        <f t="shared" si="3"/>
        <v>1</v>
      </c>
      <c r="AB24" s="1388">
        <f t="shared" si="4"/>
        <v>1</v>
      </c>
      <c r="AC24" s="1388">
        <f t="shared" si="5"/>
        <v>1</v>
      </c>
    </row>
    <row r="25" spans="1:29" s="1117"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36"/>
      <c r="Q25" s="1049">
        <f t="shared" si="8"/>
        <v>111</v>
      </c>
      <c r="R25" s="1380" t="s">
        <v>5</v>
      </c>
      <c r="S25" s="1381">
        <f>F25</f>
        <v>100</v>
      </c>
      <c r="T25" s="1380" t="s">
        <v>5</v>
      </c>
      <c r="U25" s="1381">
        <f>H25</f>
        <v>100</v>
      </c>
      <c r="V25" s="1380" t="s">
        <v>5</v>
      </c>
      <c r="W25" s="1381">
        <f>J25</f>
        <v>100</v>
      </c>
      <c r="X25" s="1382"/>
      <c r="Y25" s="3936"/>
      <c r="Z25" s="1048">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37"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38"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8"/>
      <c r="Q27" s="1413" t="str">
        <f t="shared" si="8"/>
        <v>成新率</v>
      </c>
      <c r="R27" s="1389" t="s">
        <v>5</v>
      </c>
      <c r="S27" s="1390" t="e">
        <f t="shared" si="9"/>
        <v>#N/A</v>
      </c>
      <c r="T27" s="1389" t="s">
        <v>5</v>
      </c>
      <c r="U27" s="1390" t="e">
        <f t="shared" si="10"/>
        <v>#N/A</v>
      </c>
      <c r="V27" s="1389" t="s">
        <v>5</v>
      </c>
      <c r="W27" s="1390" t="e">
        <f t="shared" si="11"/>
        <v>#N/A</v>
      </c>
      <c r="X27" s="1391"/>
      <c r="Y27" s="3938"/>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8"/>
      <c r="Q28" s="1384" t="str">
        <f t="shared" si="8"/>
        <v>物业等级</v>
      </c>
      <c r="R28" s="1385" t="s">
        <v>5</v>
      </c>
      <c r="S28" s="1386">
        <f t="shared" si="9"/>
        <v>100</v>
      </c>
      <c r="T28" s="1385" t="s">
        <v>5</v>
      </c>
      <c r="U28" s="1386">
        <f t="shared" si="10"/>
        <v>100</v>
      </c>
      <c r="V28" s="1385" t="s">
        <v>5</v>
      </c>
      <c r="W28" s="1386">
        <f t="shared" si="11"/>
        <v>100</v>
      </c>
      <c r="X28" s="1379"/>
      <c r="Y28" s="3938"/>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8"/>
      <c r="Q29" s="1384" t="str">
        <f t="shared" si="8"/>
        <v>有无电梯</v>
      </c>
      <c r="R29" s="1385" t="s">
        <v>5</v>
      </c>
      <c r="S29" s="1386">
        <f t="shared" si="9"/>
        <v>100</v>
      </c>
      <c r="T29" s="1385" t="s">
        <v>5</v>
      </c>
      <c r="U29" s="1386">
        <f t="shared" si="10"/>
        <v>100</v>
      </c>
      <c r="V29" s="1385" t="s">
        <v>5</v>
      </c>
      <c r="W29" s="1386">
        <f t="shared" si="11"/>
        <v>100</v>
      </c>
      <c r="X29" s="1379"/>
      <c r="Y29" s="3938"/>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8"/>
      <c r="Q30" s="1384" t="str">
        <f t="shared" si="8"/>
        <v>建筑面积</v>
      </c>
      <c r="R30" s="1385" t="s">
        <v>5</v>
      </c>
      <c r="S30" s="1386" t="e">
        <f t="shared" si="9"/>
        <v>#N/A</v>
      </c>
      <c r="T30" s="1385" t="s">
        <v>5</v>
      </c>
      <c r="U30" s="1386" t="e">
        <f t="shared" si="10"/>
        <v>#N/A</v>
      </c>
      <c r="V30" s="1385" t="s">
        <v>5</v>
      </c>
      <c r="W30" s="1386" t="e">
        <f t="shared" si="11"/>
        <v>#N/A</v>
      </c>
      <c r="X30" s="1379"/>
      <c r="Y30" s="3938"/>
      <c r="Z30" s="1387" t="str">
        <f t="shared" si="12"/>
        <v>建筑面积</v>
      </c>
      <c r="AA30" s="1388" t="e">
        <f t="shared" si="3"/>
        <v>#N/A</v>
      </c>
      <c r="AB30" s="1388" t="e">
        <f t="shared" si="4"/>
        <v>#N/A</v>
      </c>
      <c r="AC30" s="1388" t="e">
        <f t="shared" si="5"/>
        <v>#N/A</v>
      </c>
    </row>
    <row r="31" spans="1:29" s="1117"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8"/>
      <c r="Q31" s="1049" t="str">
        <f t="shared" si="8"/>
        <v>是否封闭</v>
      </c>
      <c r="R31" s="1380" t="s">
        <v>5</v>
      </c>
      <c r="S31" s="1381">
        <f t="shared" si="9"/>
        <v>100</v>
      </c>
      <c r="T31" s="1380" t="s">
        <v>5</v>
      </c>
      <c r="U31" s="1381">
        <f t="shared" si="10"/>
        <v>100</v>
      </c>
      <c r="V31" s="1380" t="s">
        <v>5</v>
      </c>
      <c r="W31" s="1381">
        <f t="shared" si="11"/>
        <v>100</v>
      </c>
      <c r="X31" s="1382"/>
      <c r="Y31" s="3938"/>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8" t="s">
        <v>499</v>
      </c>
      <c r="Q32" s="1384">
        <f t="shared" si="8"/>
        <v>111</v>
      </c>
      <c r="R32" s="1385" t="s">
        <v>5</v>
      </c>
      <c r="S32" s="1386">
        <f t="shared" si="9"/>
        <v>100</v>
      </c>
      <c r="T32" s="1385" t="s">
        <v>5</v>
      </c>
      <c r="U32" s="1386">
        <f t="shared" si="10"/>
        <v>100</v>
      </c>
      <c r="V32" s="1385" t="s">
        <v>5</v>
      </c>
      <c r="W32" s="1386">
        <f t="shared" si="11"/>
        <v>100</v>
      </c>
      <c r="X32" s="1379"/>
      <c r="Y32" s="3938"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8"/>
      <c r="Q33" s="1384">
        <f t="shared" si="8"/>
        <v>111</v>
      </c>
      <c r="R33" s="1385" t="s">
        <v>5</v>
      </c>
      <c r="S33" s="1386">
        <f t="shared" si="9"/>
        <v>100</v>
      </c>
      <c r="T33" s="1385" t="s">
        <v>5</v>
      </c>
      <c r="U33" s="1386">
        <f t="shared" si="10"/>
        <v>100</v>
      </c>
      <c r="V33" s="1385" t="s">
        <v>5</v>
      </c>
      <c r="W33" s="1386">
        <f t="shared" si="11"/>
        <v>100</v>
      </c>
      <c r="X33" s="1379"/>
      <c r="Y33" s="3938"/>
      <c r="Z33" s="1387">
        <f t="shared" si="12"/>
        <v>111</v>
      </c>
      <c r="AA33" s="1388">
        <f t="shared" si="3"/>
        <v>1</v>
      </c>
      <c r="AB33" s="1388">
        <f t="shared" si="4"/>
        <v>1</v>
      </c>
      <c r="AC33" s="1388">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8"/>
      <c r="Q34" s="1384">
        <f t="shared" si="8"/>
        <v>111</v>
      </c>
      <c r="R34" s="1385" t="s">
        <v>5</v>
      </c>
      <c r="S34" s="1386">
        <f t="shared" si="9"/>
        <v>100</v>
      </c>
      <c r="T34" s="1385" t="s">
        <v>5</v>
      </c>
      <c r="U34" s="1386">
        <f t="shared" si="10"/>
        <v>100</v>
      </c>
      <c r="V34" s="1385" t="s">
        <v>5</v>
      </c>
      <c r="W34" s="1386">
        <f t="shared" si="11"/>
        <v>100</v>
      </c>
      <c r="X34" s="1379"/>
      <c r="Y34" s="3938"/>
      <c r="Z34" s="1387">
        <f t="shared" si="12"/>
        <v>111</v>
      </c>
      <c r="AA34" s="1388">
        <f t="shared" si="3"/>
        <v>1</v>
      </c>
      <c r="AB34" s="1388">
        <f t="shared" si="4"/>
        <v>1</v>
      </c>
      <c r="AC34" s="1388">
        <f t="shared" si="5"/>
        <v>1</v>
      </c>
    </row>
    <row r="35" spans="1:29" ht="14.4">
      <c r="A35" s="577" t="s">
        <v>683</v>
      </c>
      <c r="B35" s="850"/>
      <c r="C35" s="2233" t="s">
        <v>0</v>
      </c>
      <c r="D35" s="2234"/>
      <c r="E35" s="2235"/>
      <c r="F35" s="2236"/>
      <c r="G35" s="2237"/>
      <c r="H35" s="2238"/>
      <c r="I35" s="2235"/>
      <c r="J35" s="2238"/>
      <c r="K35" s="1418"/>
      <c r="L35" s="1866"/>
      <c r="M35" s="1867"/>
      <c r="N35" s="1856"/>
      <c r="O35" s="1867"/>
      <c r="P35" s="3902" t="str">
        <f>A35</f>
        <v>成交单价（元/平方米）</v>
      </c>
      <c r="Q35" s="3902"/>
      <c r="R35" s="4030">
        <f>E35</f>
        <v>0</v>
      </c>
      <c r="S35" s="4030"/>
      <c r="T35" s="4030">
        <f>G35</f>
        <v>0</v>
      </c>
      <c r="U35" s="4030"/>
      <c r="V35" s="4030">
        <f>I35</f>
        <v>0</v>
      </c>
      <c r="W35" s="4030"/>
      <c r="X35" s="1374"/>
      <c r="Y35" s="1393"/>
      <c r="Z35" s="1374"/>
      <c r="AA35" s="1374"/>
      <c r="AB35" s="1374"/>
      <c r="AC35" s="1374"/>
    </row>
    <row r="36" spans="1:29" ht="15" thickBot="1">
      <c r="A36" s="585" t="s">
        <v>2042</v>
      </c>
      <c r="B36" s="851"/>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902" t="str">
        <f>A36</f>
        <v>比较价格（元/平方米）</v>
      </c>
      <c r="Q36" s="3902"/>
      <c r="R36" s="4030" t="e">
        <f>IF(F1="售价",ROUND(PRODUCT(R35,AA7:AA34),0),ROUND(PRODUCT(R35,AA7:AA34),1))</f>
        <v>#DIV/0!</v>
      </c>
      <c r="S36" s="4030"/>
      <c r="T36" s="4030" t="e">
        <f>IF(F1="售价",ROUND(PRODUCT(T35,AB7:AB34),0),ROUND(PRODUCT(T35,AB7:AB34),1))</f>
        <v>#DIV/0!</v>
      </c>
      <c r="U36" s="4030"/>
      <c r="V36" s="4030" t="e">
        <f>IF(F1="售价",ROUND(PRODUCT(V35,AC7:AC34),0),ROUND(PRODUCT(V35,AC7:AC34),1))</f>
        <v>#DIV/0!</v>
      </c>
      <c r="W36" s="4030"/>
      <c r="X36" s="1374"/>
      <c r="Y36" s="1374"/>
      <c r="Z36" s="1374"/>
      <c r="AA36" s="1374"/>
      <c r="AB36" s="1374"/>
      <c r="AC36" s="1374"/>
    </row>
    <row r="37" spans="1:29" ht="15" thickBot="1">
      <c r="A37" s="589" t="s">
        <v>2198</v>
      </c>
      <c r="B37" s="590"/>
      <c r="C37" s="2241" t="e">
        <f>R37</f>
        <v>#DIV/0!</v>
      </c>
      <c r="D37" s="2241"/>
      <c r="E37" s="2241"/>
      <c r="F37" s="2241"/>
      <c r="G37" s="2241"/>
      <c r="H37" s="2241"/>
      <c r="I37" s="2241"/>
      <c r="J37" s="2241"/>
      <c r="K37" s="1419"/>
      <c r="L37" s="1866"/>
      <c r="M37" s="1867"/>
      <c r="N37" s="1867"/>
      <c r="O37" s="1867"/>
      <c r="P37" s="3939" t="str">
        <f>A37</f>
        <v>估价对象XX用房的比较价格（楼面单价，元/平方米）</v>
      </c>
      <c r="Q37" s="3940"/>
      <c r="R37" s="4029" t="e">
        <f>IF(F1="售价",ROUND(IF(D36="简单平均",AVERAGE(R36:W36),R36*F36+T36*H36+V36*J36),0),ROUND(IF(D36="简单平均",AVERAGE(R36:V36),R36*F36+T36*H36+V36*J36),1))</f>
        <v>#DIV/0!</v>
      </c>
      <c r="S37" s="4029"/>
      <c r="T37" s="4029"/>
      <c r="U37" s="4029"/>
      <c r="V37" s="4029"/>
      <c r="W37" s="4029"/>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2024-11</v>
      </c>
      <c r="D46" s="2283">
        <f>EDATE(C46,-1)</f>
        <v>45566</v>
      </c>
      <c r="E46" s="2283">
        <f t="shared" ref="E46:O46" si="13">EDATE(D46,-1)</f>
        <v>45536</v>
      </c>
      <c r="F46" s="2283">
        <f t="shared" si="13"/>
        <v>45505</v>
      </c>
      <c r="G46" s="2283">
        <f t="shared" si="13"/>
        <v>45474</v>
      </c>
      <c r="H46" s="2283">
        <f t="shared" si="13"/>
        <v>45444</v>
      </c>
      <c r="I46" s="2283">
        <f t="shared" si="13"/>
        <v>45413</v>
      </c>
      <c r="J46" s="2283">
        <f t="shared" si="13"/>
        <v>45383</v>
      </c>
      <c r="K46" s="2283">
        <f t="shared" si="13"/>
        <v>45352</v>
      </c>
      <c r="L46" s="2283">
        <f t="shared" si="13"/>
        <v>45323</v>
      </c>
      <c r="M46" s="2283">
        <f t="shared" si="13"/>
        <v>45292</v>
      </c>
      <c r="N46" s="2283">
        <f t="shared" si="13"/>
        <v>45261</v>
      </c>
      <c r="O46" s="2283">
        <f t="shared" si="13"/>
        <v>45231</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44" t="s">
        <v>1661</v>
      </c>
      <c r="D1" s="4045"/>
      <c r="E1" s="4045"/>
      <c r="F1" s="4045"/>
      <c r="G1" s="4045"/>
      <c r="H1" s="4045"/>
      <c r="I1" s="4045"/>
      <c r="J1" s="4045"/>
      <c r="K1" s="4045"/>
      <c r="L1" s="4045"/>
      <c r="M1" s="4045"/>
      <c r="N1" s="4045"/>
      <c r="O1" s="4045"/>
      <c r="P1" s="4045"/>
      <c r="Q1" s="4045"/>
      <c r="R1" s="4045"/>
      <c r="S1" s="4046"/>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6">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41" t="s">
        <v>14</v>
      </c>
      <c r="D22" s="4042"/>
      <c r="E22" s="4042"/>
      <c r="F22" s="4042"/>
      <c r="G22" s="4042"/>
      <c r="H22" s="4042"/>
      <c r="I22" s="4042"/>
      <c r="J22" s="4042"/>
      <c r="K22" s="4042"/>
      <c r="L22" s="4042"/>
      <c r="M22" s="4042"/>
      <c r="N22" s="4042"/>
      <c r="O22" s="4042"/>
      <c r="P22" s="4042"/>
      <c r="Q22" s="4043"/>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45597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1"/>
      <c r="B23" s="2462" t="s">
        <v>2290</v>
      </c>
      <c r="C23" s="2470">
        <v>43697</v>
      </c>
      <c r="D23" s="3018">
        <v>4.25</v>
      </c>
      <c r="E23" s="3018">
        <v>4.25</v>
      </c>
      <c r="F23" s="3018">
        <v>4.25</v>
      </c>
      <c r="G23" s="3018">
        <v>4.25</v>
      </c>
      <c r="H23" s="3018">
        <v>4.8499999999999996</v>
      </c>
      <c r="I23" s="3018"/>
      <c r="J23" s="301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2"/>
      <c r="C24" s="3023">
        <v>42301</v>
      </c>
      <c r="D24" s="3024">
        <v>4.3499999999999996</v>
      </c>
      <c r="E24" s="3024">
        <v>4.3499999999999996</v>
      </c>
      <c r="F24" s="3024">
        <v>4.75</v>
      </c>
      <c r="G24" s="3024">
        <v>4.75</v>
      </c>
      <c r="H24" s="3024">
        <v>4.9000000000000004</v>
      </c>
      <c r="I24" s="3024"/>
      <c r="J24" s="3024"/>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30" t="s">
        <v>1556</v>
      </c>
      <c r="B1" s="3730"/>
      <c r="C1" s="3730"/>
      <c r="D1" s="3730"/>
      <c r="E1" s="3730"/>
      <c r="F1" s="3730"/>
      <c r="G1" s="3730"/>
      <c r="H1" s="3730"/>
      <c r="I1" s="3730"/>
      <c r="J1" s="3730"/>
      <c r="K1" s="3730"/>
      <c r="L1" s="3730"/>
      <c r="M1" s="3730"/>
      <c r="N1" s="3730"/>
      <c r="O1" s="3730"/>
      <c r="P1" s="3730"/>
      <c r="Q1" s="3730"/>
      <c r="R1" s="3730"/>
    </row>
    <row r="2" spans="1:18">
      <c r="A2" s="1594" t="s">
        <v>1558</v>
      </c>
      <c r="B2" s="1594"/>
      <c r="C2" s="1594"/>
      <c r="D2" s="1594"/>
      <c r="E2" s="1594"/>
      <c r="F2" s="1594"/>
      <c r="G2" s="1594"/>
      <c r="H2" s="1594"/>
      <c r="I2" s="1595"/>
      <c r="J2" s="1595"/>
      <c r="K2" s="1596" t="str">
        <f>"估价期日："&amp;TEXT(项目基本情况!D3,"yyyy年m月d日;;")</f>
        <v>估价期日：2024年11月1日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31" t="s">
        <v>1547</v>
      </c>
      <c r="B3" s="3731" t="s">
        <v>2013</v>
      </c>
      <c r="C3" s="3732" t="s">
        <v>1548</v>
      </c>
      <c r="D3" s="3731" t="s">
        <v>2017</v>
      </c>
      <c r="E3" s="3734" t="s">
        <v>1549</v>
      </c>
      <c r="F3" s="3734"/>
      <c r="G3" s="3734"/>
      <c r="H3" s="3734" t="s">
        <v>1550</v>
      </c>
      <c r="I3" s="3734"/>
      <c r="J3" s="3734"/>
      <c r="K3" s="3732" t="s">
        <v>1551</v>
      </c>
      <c r="L3" s="3732" t="s">
        <v>1552</v>
      </c>
      <c r="M3" s="3731" t="s">
        <v>2014</v>
      </c>
      <c r="N3" s="3733" t="str">
        <f>"（分摊）"&amp;项目基本情况!A17&amp;"国有建设用地使用权面积/㎡"</f>
        <v>（分摊）出让国有建设用地使用权面积/㎡</v>
      </c>
      <c r="O3" s="3731" t="s">
        <v>1581</v>
      </c>
      <c r="P3" s="3732" t="s">
        <v>1561</v>
      </c>
      <c r="Q3" s="3732" t="s">
        <v>1582</v>
      </c>
      <c r="R3" s="3732" t="s">
        <v>1553</v>
      </c>
    </row>
    <row r="4" spans="1:18" ht="36.75" customHeight="1">
      <c r="A4" s="3731"/>
      <c r="B4" s="3731"/>
      <c r="C4" s="3732"/>
      <c r="D4" s="3731"/>
      <c r="E4" s="2253" t="s">
        <v>1560</v>
      </c>
      <c r="F4" s="2253" t="s">
        <v>2026</v>
      </c>
      <c r="G4" s="2253" t="s">
        <v>1554</v>
      </c>
      <c r="H4" s="2253" t="s">
        <v>1555</v>
      </c>
      <c r="I4" s="2253" t="s">
        <v>2027</v>
      </c>
      <c r="J4" s="2253" t="s">
        <v>1554</v>
      </c>
      <c r="K4" s="3732"/>
      <c r="L4" s="3732"/>
      <c r="M4" s="3731"/>
      <c r="N4" s="3733"/>
      <c r="O4" s="3731"/>
      <c r="P4" s="3732"/>
      <c r="Q4" s="3732"/>
      <c r="R4" s="3732"/>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76200</v>
      </c>
      <c r="O5" s="1597">
        <f>项目基本情况!C21</f>
        <v>76200</v>
      </c>
      <c r="P5" s="1597">
        <f ca="1">结果表!E42</f>
        <v>1943</v>
      </c>
      <c r="Q5" s="1597">
        <f ca="1">结果表!D42</f>
        <v>1943</v>
      </c>
      <c r="R5" s="1598">
        <f ca="1">结果表!C42</f>
        <v>14809</v>
      </c>
    </row>
    <row r="6" spans="1:18">
      <c r="A6" s="3727" t="str">
        <f>IF(项目基本情况!B9="市场价格","——","抵押价格")</f>
        <v>——</v>
      </c>
      <c r="B6" s="3728"/>
      <c r="C6" s="3728"/>
      <c r="D6" s="3728"/>
      <c r="E6" s="3728"/>
      <c r="F6" s="3728"/>
      <c r="G6" s="3728"/>
      <c r="H6" s="3728"/>
      <c r="I6" s="3728"/>
      <c r="J6" s="3728"/>
      <c r="K6" s="3728"/>
      <c r="L6" s="3728"/>
      <c r="M6" s="3728"/>
      <c r="N6" s="3728"/>
      <c r="O6" s="3728"/>
      <c r="P6" s="3728"/>
      <c r="Q6" s="3729"/>
      <c r="R6" s="1599" t="str">
        <f>结果表!O39</f>
        <v>——</v>
      </c>
    </row>
    <row r="7" spans="1:18">
      <c r="A7" s="3727" t="str">
        <f>IF(项目基本情况!B9="市场价格","——",IF(项目基本情况!E8="已注销及未注销","抵押担保权已注销时的抵押价格","——"))</f>
        <v>——</v>
      </c>
      <c r="B7" s="3728"/>
      <c r="C7" s="3728"/>
      <c r="D7" s="3728"/>
      <c r="E7" s="3728"/>
      <c r="F7" s="3728"/>
      <c r="G7" s="3728"/>
      <c r="H7" s="3728"/>
      <c r="I7" s="3728"/>
      <c r="J7" s="3728"/>
      <c r="K7" s="3728"/>
      <c r="L7" s="3728"/>
      <c r="M7" s="3728"/>
      <c r="N7" s="3728"/>
      <c r="O7" s="3728"/>
      <c r="P7" s="3728"/>
      <c r="Q7" s="3729"/>
      <c r="R7" s="1599" t="str">
        <f>结果表!O40</f>
        <v>——</v>
      </c>
    </row>
    <row r="8" spans="1:18">
      <c r="A8" s="3727" t="str">
        <f>IF(项目基本情况!B9="市场价格","——",项目基本情况!E9)</f>
        <v>——</v>
      </c>
      <c r="B8" s="3728"/>
      <c r="C8" s="3728"/>
      <c r="D8" s="3728"/>
      <c r="E8" s="3728"/>
      <c r="F8" s="3728"/>
      <c r="G8" s="3728"/>
      <c r="H8" s="3728"/>
      <c r="I8" s="3728"/>
      <c r="J8" s="3728"/>
      <c r="K8" s="3728"/>
      <c r="L8" s="3728"/>
      <c r="M8" s="3728"/>
      <c r="N8" s="3728"/>
      <c r="O8" s="3728"/>
      <c r="P8" s="3728"/>
      <c r="Q8" s="3729"/>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736" t="s">
        <v>1583</v>
      </c>
      <c r="B1" s="3736"/>
      <c r="C1" s="3736"/>
      <c r="D1" s="3736"/>
    </row>
    <row r="2" spans="1:4" ht="47.25" customHeight="1">
      <c r="A2" s="3737" t="str">
        <f>"1.权利限制："&amp;项目基本情况!L24&amp;"未设定租赁等其他他项权利。"</f>
        <v>1.权利限制：根据估价对象《不动产权证书》原件、《国有土地使用权》复印件，截至估价期日，估价对象抵押权未见登记。未设定租赁等其他他项权利。</v>
      </c>
      <c r="B2" s="3737"/>
      <c r="C2" s="3737"/>
      <c r="D2" s="3737"/>
    </row>
    <row r="3" spans="1:4" ht="48" customHeight="1">
      <c r="A3" s="37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6"/>
      <c r="C3" s="3736"/>
      <c r="D3" s="3736"/>
    </row>
    <row r="4" spans="1:4" ht="36.75" customHeight="1">
      <c r="A4" s="3736" t="str">
        <f>"3.估价规划限制条件：详见"&amp;项目基本情况!E21&amp;"。"</f>
        <v>3.估价规划限制条件：详见《建设工程规划许可证》[]、《出让合同》[]。</v>
      </c>
      <c r="B4" s="3736"/>
      <c r="C4" s="3736"/>
      <c r="D4" s="3736"/>
    </row>
    <row r="5" spans="1:4">
      <c r="A5" s="3735" t="s">
        <v>1584</v>
      </c>
      <c r="B5" s="3735"/>
      <c r="C5" s="3735"/>
      <c r="D5" s="3735"/>
    </row>
    <row r="6" spans="1:4">
      <c r="A6" s="3736" t="s">
        <v>1562</v>
      </c>
      <c r="B6" s="3736"/>
      <c r="C6" s="3736"/>
      <c r="D6" s="3736"/>
    </row>
    <row r="7" spans="1:4" ht="33" customHeight="1">
      <c r="A7" s="3736" t="s">
        <v>1857</v>
      </c>
      <c r="B7" s="3736"/>
      <c r="C7" s="3736"/>
      <c r="D7" s="3736"/>
    </row>
    <row r="8" spans="1:4" ht="32.25" customHeight="1">
      <c r="A8" s="37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6"/>
      <c r="C8" s="3736"/>
      <c r="D8" s="3736"/>
    </row>
    <row r="9" spans="1:4" ht="33.75" customHeight="1">
      <c r="A9" s="3736" t="str">
        <f>IF(项目基本情况!B8="抵押","3.抵押双方在办理抵押登记手续时，应使用本公司出具的正式《土地估价报告》，特提请报告使用者注意。","——")</f>
        <v>——</v>
      </c>
      <c r="B9" s="3736"/>
      <c r="C9" s="3736"/>
      <c r="D9" s="3736"/>
    </row>
    <row r="10" spans="1:4">
      <c r="A10" s="3736" t="str">
        <f>IF(项目基本情况!B8="抵押","4.估价师所知悉的法定优先受偿款情况为：","——")</f>
        <v>——</v>
      </c>
      <c r="B10" s="3736"/>
      <c r="C10" s="3736"/>
      <c r="D10" s="3736"/>
    </row>
    <row r="11" spans="1:4" ht="37.5" customHeight="1">
      <c r="A11" s="3738" t="str">
        <f>IF(项目基本情况!B8="抵押","（1）"&amp;CONCATENATE(项目基本情况!L24,项目基本情况!L25,项目基本情况!L26),"——")</f>
        <v>——</v>
      </c>
      <c r="B11" s="3738"/>
      <c r="C11" s="3738"/>
      <c r="D11" s="3738"/>
    </row>
    <row r="12" spans="1:4" ht="168" customHeight="1">
      <c r="A12" s="3735" t="s">
        <v>1586</v>
      </c>
      <c r="B12" s="3735"/>
      <c r="C12" s="3735"/>
      <c r="D12" s="3735"/>
    </row>
    <row r="13" spans="1:4">
      <c r="A13" s="3739" t="s">
        <v>2028</v>
      </c>
      <c r="B13" s="3739"/>
      <c r="C13" s="3739"/>
      <c r="D13" s="3739"/>
    </row>
    <row r="14" spans="1:4">
      <c r="A14" s="3738" t="str">
        <f>IF(项目基本情况!B8="抵押","综上，"&amp;结果表!K47,"——")</f>
        <v>——</v>
      </c>
      <c r="B14" s="3738"/>
      <c r="C14" s="3738"/>
      <c r="D14" s="3738"/>
    </row>
    <row r="15" spans="1:4" ht="58.5" customHeight="1">
      <c r="A15" s="37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6"/>
      <c r="C15" s="3736"/>
      <c r="D15" s="3736"/>
    </row>
    <row r="16" spans="1:4" ht="70.5" customHeight="1">
      <c r="A16" s="37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6"/>
      <c r="C16" s="3736"/>
      <c r="D16" s="3736"/>
    </row>
    <row r="17" spans="1:4">
      <c r="A17" s="3736" t="s">
        <v>1984</v>
      </c>
      <c r="B17" s="3736"/>
      <c r="C17" s="3736"/>
      <c r="D17" s="3736"/>
    </row>
    <row r="18" spans="1:4">
      <c r="A18" s="3736" t="s">
        <v>1976</v>
      </c>
      <c r="B18" s="3736"/>
      <c r="C18" s="3736"/>
      <c r="D18" s="3736"/>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36" t="s">
        <v>1981</v>
      </c>
      <c r="B23" s="3736"/>
      <c r="C23" s="3736"/>
      <c r="D23" s="3736"/>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47" t="s">
        <v>27</v>
      </c>
      <c r="B15" s="3748" t="s">
        <v>784</v>
      </c>
      <c r="C15" s="3744"/>
    </row>
    <row r="16" spans="1:7" ht="14.4">
      <c r="A16" s="3747"/>
      <c r="B16" s="3745" t="s">
        <v>28</v>
      </c>
      <c r="C16" s="1069" t="s">
        <v>27</v>
      </c>
    </row>
    <row r="17" spans="1:3" ht="14.4">
      <c r="A17" s="3747"/>
      <c r="B17" s="3745"/>
      <c r="C17" s="1069" t="s">
        <v>29</v>
      </c>
    </row>
    <row r="18" spans="1:3" ht="14.4">
      <c r="A18" s="3747"/>
      <c r="B18" s="3745"/>
      <c r="C18" s="1069" t="s">
        <v>30</v>
      </c>
    </row>
    <row r="19" spans="1:3" ht="14.4">
      <c r="A19" s="3747"/>
      <c r="B19" s="3743" t="s">
        <v>31</v>
      </c>
      <c r="C19" s="3744"/>
    </row>
    <row r="20" spans="1:3" ht="14.4">
      <c r="A20" s="1070" t="s">
        <v>32</v>
      </c>
      <c r="B20" s="1071"/>
      <c r="C20" s="1072"/>
    </row>
    <row r="21" spans="1:3" ht="14.4">
      <c r="A21" s="3746" t="s">
        <v>33</v>
      </c>
      <c r="B21" s="3743" t="s">
        <v>34</v>
      </c>
      <c r="C21" s="3744"/>
    </row>
    <row r="22" spans="1:3" ht="14.4">
      <c r="A22" s="3746"/>
      <c r="B22" s="3743" t="s">
        <v>35</v>
      </c>
      <c r="C22" s="3744"/>
    </row>
    <row r="23" spans="1:3" ht="14.4">
      <c r="A23" s="3746"/>
      <c r="B23" s="3743" t="s">
        <v>36</v>
      </c>
      <c r="C23" s="3744"/>
    </row>
    <row r="24" spans="1:3" ht="14.4">
      <c r="A24" s="3746"/>
      <c r="B24" s="3749" t="s">
        <v>37</v>
      </c>
      <c r="C24" s="1073" t="s">
        <v>775</v>
      </c>
    </row>
    <row r="25" spans="1:3" ht="14.4">
      <c r="A25" s="3746"/>
      <c r="B25" s="3750"/>
      <c r="C25" s="1073" t="s">
        <v>776</v>
      </c>
    </row>
    <row r="26" spans="1:3" ht="14.4">
      <c r="A26" s="3746"/>
      <c r="B26" s="3750"/>
      <c r="C26" s="1073" t="s">
        <v>777</v>
      </c>
    </row>
    <row r="27" spans="1:3" ht="14.4">
      <c r="A27" s="3746"/>
      <c r="B27" s="3750"/>
      <c r="C27" s="1073" t="s">
        <v>778</v>
      </c>
    </row>
    <row r="28" spans="1:3" ht="14.4">
      <c r="A28" s="3746"/>
      <c r="B28" s="3750"/>
      <c r="C28" s="1073" t="s">
        <v>779</v>
      </c>
    </row>
    <row r="29" spans="1:3" ht="14.4">
      <c r="A29" s="3746"/>
      <c r="B29" s="3750"/>
      <c r="C29" s="1073" t="s">
        <v>780</v>
      </c>
    </row>
    <row r="30" spans="1:3" ht="14.4">
      <c r="A30" s="3746"/>
      <c r="B30" s="3750"/>
      <c r="C30" s="1073" t="s">
        <v>781</v>
      </c>
    </row>
    <row r="31" spans="1:3" ht="14.4">
      <c r="A31" s="3746"/>
      <c r="B31" s="3750"/>
      <c r="C31" s="1073" t="s">
        <v>782</v>
      </c>
    </row>
    <row r="32" spans="1:3" ht="14.4">
      <c r="A32" s="3746"/>
      <c r="B32" s="3750"/>
      <c r="C32" s="1073" t="s">
        <v>1181</v>
      </c>
    </row>
    <row r="33" spans="1:3" ht="14.4">
      <c r="A33" s="3746"/>
      <c r="B33" s="3740" t="s">
        <v>1187</v>
      </c>
      <c r="C33" s="1073" t="s">
        <v>1182</v>
      </c>
    </row>
    <row r="34" spans="1:3" ht="14.4">
      <c r="A34" s="3746"/>
      <c r="B34" s="3741"/>
      <c r="C34" s="1078" t="s">
        <v>1183</v>
      </c>
    </row>
    <row r="35" spans="1:3" ht="14.4">
      <c r="A35" s="3746"/>
      <c r="B35" s="3741"/>
      <c r="C35" s="1079" t="s">
        <v>1184</v>
      </c>
    </row>
    <row r="36" spans="1:3" ht="14.4">
      <c r="A36" s="3746"/>
      <c r="B36" s="3741"/>
      <c r="C36" s="1079" t="s">
        <v>1185</v>
      </c>
    </row>
    <row r="37" spans="1:3" ht="14.4">
      <c r="A37" s="3746"/>
      <c r="B37" s="3742"/>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45804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54" t="s">
        <v>1448</v>
      </c>
      <c r="B18" s="3755"/>
      <c r="C18" s="3755"/>
      <c r="D18" s="3755"/>
      <c r="E18" s="3755"/>
      <c r="F18" s="3755"/>
      <c r="G18" s="2776"/>
    </row>
    <row r="19" spans="1:7" ht="20.25" customHeight="1">
      <c r="A19" s="3751" t="s">
        <v>1449</v>
      </c>
      <c r="B19" s="3751"/>
      <c r="C19" s="3752"/>
      <c r="D19" s="3753" t="s">
        <v>1450</v>
      </c>
      <c r="E19" s="3751"/>
      <c r="F19" s="3751"/>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9"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7"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7" t="s">
        <v>1176</v>
      </c>
      <c r="C6" s="1369"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7" t="s">
        <v>1243</v>
      </c>
      <c r="F7" s="7" t="s">
        <v>120</v>
      </c>
      <c r="H7" s="7" t="s">
        <v>74</v>
      </c>
      <c r="I7" s="7" t="s">
        <v>2755</v>
      </c>
    </row>
    <row r="8" spans="1:23" ht="14.4">
      <c r="A8" s="6" t="s">
        <v>75</v>
      </c>
      <c r="B8" s="6" t="s">
        <v>76</v>
      </c>
      <c r="C8" s="1367" t="s">
        <v>1244</v>
      </c>
      <c r="F8" s="7" t="s">
        <v>121</v>
      </c>
      <c r="H8" s="3335" t="s">
        <v>2749</v>
      </c>
      <c r="I8" s="7" t="s">
        <v>2756</v>
      </c>
    </row>
    <row r="9" spans="1:23" ht="14.4">
      <c r="A9" s="6" t="s">
        <v>77</v>
      </c>
      <c r="B9" s="6" t="s">
        <v>122</v>
      </c>
      <c r="C9" s="1367" t="s">
        <v>1245</v>
      </c>
      <c r="F9" s="7" t="s">
        <v>78</v>
      </c>
      <c r="H9" s="7"/>
      <c r="I9" s="7" t="s">
        <v>2757</v>
      </c>
    </row>
    <row r="10" spans="1:23" ht="14.4">
      <c r="A10" s="6" t="s">
        <v>79</v>
      </c>
      <c r="B10" s="6" t="s">
        <v>123</v>
      </c>
      <c r="C10" s="1367" t="s">
        <v>1246</v>
      </c>
      <c r="F10" s="3335" t="s">
        <v>2748</v>
      </c>
      <c r="I10" s="7" t="s">
        <v>2758</v>
      </c>
    </row>
    <row r="11" spans="1:23" ht="14.4">
      <c r="A11" s="6" t="s">
        <v>80</v>
      </c>
      <c r="B11" s="6" t="s">
        <v>124</v>
      </c>
      <c r="C11" s="1367" t="s">
        <v>1247</v>
      </c>
      <c r="I11" s="7" t="s">
        <v>2759</v>
      </c>
    </row>
    <row r="12" spans="1:23" ht="14.4">
      <c r="A12" s="6" t="s">
        <v>81</v>
      </c>
      <c r="B12" s="6" t="s">
        <v>125</v>
      </c>
      <c r="C12" s="1367" t="s">
        <v>1248</v>
      </c>
      <c r="I12" s="7" t="s">
        <v>2760</v>
      </c>
    </row>
    <row r="13" spans="1:23" ht="14.4">
      <c r="A13" s="6" t="s">
        <v>82</v>
      </c>
      <c r="B13" s="6" t="s">
        <v>126</v>
      </c>
      <c r="C13" s="1367" t="s">
        <v>1249</v>
      </c>
      <c r="I13" s="7" t="s">
        <v>2761</v>
      </c>
    </row>
    <row r="14" spans="1:23" ht="14.4">
      <c r="A14" s="6" t="s">
        <v>83</v>
      </c>
      <c r="B14" s="6" t="s">
        <v>127</v>
      </c>
      <c r="C14" s="1370" t="s">
        <v>1421</v>
      </c>
      <c r="I14" s="7" t="s">
        <v>2762</v>
      </c>
    </row>
    <row r="15" spans="1:23" ht="14.4">
      <c r="A15" s="6" t="s">
        <v>84</v>
      </c>
      <c r="B15" s="6" t="s">
        <v>1214</v>
      </c>
      <c r="C15" s="1370"/>
      <c r="I15" s="7" t="s">
        <v>2763</v>
      </c>
    </row>
    <row r="16" spans="1:23" ht="14.4">
      <c r="A16" s="6" t="s">
        <v>85</v>
      </c>
      <c r="B16" s="6" t="s">
        <v>1215</v>
      </c>
      <c r="C16" s="1370"/>
    </row>
    <row r="17" spans="1:3" ht="14.4">
      <c r="A17" s="6" t="s">
        <v>86</v>
      </c>
      <c r="B17" s="6" t="s">
        <v>1216</v>
      </c>
      <c r="C17" s="1370"/>
    </row>
    <row r="18" spans="1:3" ht="14.4">
      <c r="A18" s="6" t="s">
        <v>87</v>
      </c>
      <c r="B18" s="2546" t="s">
        <v>2216</v>
      </c>
      <c r="C18" s="1370"/>
    </row>
    <row r="19" spans="1:3" ht="14.4">
      <c r="A19" s="6" t="s">
        <v>88</v>
      </c>
      <c r="B19" s="2546" t="s">
        <v>2223</v>
      </c>
      <c r="C19" s="1370"/>
    </row>
    <row r="20" spans="1:3" ht="14.4">
      <c r="A20" s="6" t="s">
        <v>89</v>
      </c>
      <c r="B20" s="2546" t="s">
        <v>2263</v>
      </c>
      <c r="C20" s="1370"/>
    </row>
    <row r="21" spans="1:3" ht="14.4">
      <c r="A21" s="6" t="s">
        <v>90</v>
      </c>
      <c r="B21" s="6" t="s">
        <v>2443</v>
      </c>
      <c r="C21" s="1370"/>
    </row>
    <row r="22" spans="1:3" ht="14.4">
      <c r="A22" s="6" t="s">
        <v>91</v>
      </c>
      <c r="B22" s="6" t="s">
        <v>1177</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56"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日，在规划利用条件下、设定土地开发程度为红线外“七通”、宗地内场地，设定用途为，剩余土地使用年限为的出让国有建设用地使用权价格。</v>
      </c>
      <c r="D53" s="1557"/>
      <c r="E53" s="1557"/>
    </row>
    <row r="54" spans="1:5">
      <c r="A54" s="3756"/>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56"/>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56"/>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56"/>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Sheet3</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2025-05-27T08:08:42Z</dcterms:modified>
</cp:coreProperties>
</file>