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A351764C-D453-4889-9F5F-14C3FDB68CCC}" xr6:coauthVersionLast="47" xr6:coauthVersionMax="47" xr10:uidLastSave="{00000000-0000-0000-0000-000000000000}"/>
  <bookViews>
    <workbookView xWindow="-108" yWindow="-108" windowWidth="20376" windowHeight="12216" tabRatio="899" firstSheet="10"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面积信息价值表" sheetId="80" r:id="rId18"/>
    <sheet name="典型户型修正" sheetId="31"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结果表" sheetId="9"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41">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4" i="74" l="1"/>
  <c r="D14" i="74"/>
  <c r="B14" i="74"/>
  <c r="N4" i="80"/>
  <c r="R24" i="31"/>
  <c r="J4" i="80"/>
  <c r="I4" i="80"/>
  <c r="B26" i="31"/>
  <c r="B27" i="31"/>
  <c r="B25" i="31"/>
  <c r="A26" i="31"/>
  <c r="A27" i="31"/>
  <c r="A25" i="31"/>
  <c r="E4" i="31"/>
  <c r="D4" i="31"/>
  <c r="B24" i="31"/>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3" i="79" l="1"/>
  <c r="AG33" i="79" s="1"/>
  <c r="S34" i="79"/>
  <c r="AG34" i="79" s="1"/>
  <c r="S35" i="79"/>
  <c r="AG35" i="79" s="1"/>
  <c r="AR18" i="79"/>
  <c r="AR19" i="79" s="1"/>
  <c r="AR20" i="79" s="1"/>
  <c r="AR21" i="79" s="1"/>
  <c r="AR22" i="79" s="1"/>
  <c r="AR23" i="79" s="1"/>
  <c r="AR24" i="79" s="1"/>
  <c r="S20" i="79"/>
  <c r="AG20" i="79" s="1"/>
  <c r="W22" i="79"/>
  <c r="AK22" i="79" s="1"/>
  <c r="AH22" i="79"/>
  <c r="AD38" i="79"/>
  <c r="AD37" i="79"/>
  <c r="AD35" i="79"/>
  <c r="AD36" i="79"/>
  <c r="AR40" i="79"/>
  <c r="AR41" i="79" s="1"/>
  <c r="AR42" i="79" s="1"/>
  <c r="AR43" i="79" s="1"/>
  <c r="AR44" i="79" s="1"/>
  <c r="AR45" i="79" s="1"/>
  <c r="AR46" i="79" s="1"/>
  <c r="AR47" i="79" s="1"/>
  <c r="AR48" i="79" s="1"/>
  <c r="AR49" i="79" s="1"/>
  <c r="AR50" i="79" s="1"/>
  <c r="AR51" i="79" s="1"/>
  <c r="AR52" i="79" s="1"/>
  <c r="T40" i="79"/>
  <c r="U46" i="79"/>
  <c r="AI46" i="79" s="1"/>
  <c r="AD47" i="79"/>
  <c r="S48" i="79"/>
  <c r="AG48" i="79" s="1"/>
  <c r="U50" i="79"/>
  <c r="AI50" i="79" s="1"/>
  <c r="AD51" i="79"/>
  <c r="T35" i="79"/>
  <c r="T33" i="79"/>
  <c r="T34"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9" i="79" l="1"/>
  <c r="AK19" i="79" s="1"/>
  <c r="AH19" i="79"/>
  <c r="W16" i="79"/>
  <c r="AK16" i="79" s="1"/>
  <c r="AH16" i="79"/>
  <c r="W50" i="79"/>
  <c r="AK50" i="79" s="1"/>
  <c r="AH50" i="79"/>
  <c r="W41" i="79"/>
  <c r="AK41" i="79" s="1"/>
  <c r="AH41" i="79"/>
  <c r="W44" i="79"/>
  <c r="AK44" i="79" s="1"/>
  <c r="AH44" i="79"/>
  <c r="W33" i="79"/>
  <c r="AK33" i="79" s="1"/>
  <c r="AH33" i="79"/>
  <c r="W35" i="79"/>
  <c r="AK35" i="79" s="1"/>
  <c r="AH35" i="79"/>
  <c r="W23" i="79"/>
  <c r="AK23" i="79" s="1"/>
  <c r="AH23" i="79"/>
  <c r="W12" i="79"/>
  <c r="AK12" i="79" s="1"/>
  <c r="AH12" i="79"/>
  <c r="W21" i="79"/>
  <c r="AK21" i="79" s="1"/>
  <c r="AH21" i="79"/>
  <c r="W47" i="79"/>
  <c r="AK47" i="79" s="1"/>
  <c r="AH47" i="79"/>
  <c r="W45" i="79"/>
  <c r="AK45" i="79" s="1"/>
  <c r="AH45" i="79"/>
  <c r="W14" i="79"/>
  <c r="AK14" i="79" s="1"/>
  <c r="AH14" i="79"/>
  <c r="W51" i="79"/>
  <c r="AK51" i="79" s="1"/>
  <c r="AH51" i="79"/>
  <c r="W46" i="79"/>
  <c r="AK46" i="79" s="1"/>
  <c r="AH46" i="79"/>
  <c r="W15" i="79"/>
  <c r="AK15" i="79" s="1"/>
  <c r="AH15" i="79"/>
  <c r="W13" i="79"/>
  <c r="AK13" i="79" s="1"/>
  <c r="AH13" i="79"/>
  <c r="W48" i="79"/>
  <c r="AK48" i="79" s="1"/>
  <c r="AH48" i="79"/>
  <c r="W49" i="79"/>
  <c r="AK49" i="79" s="1"/>
  <c r="AH49" i="79"/>
  <c r="W43" i="79"/>
  <c r="AK43" i="79" s="1"/>
  <c r="AH43" i="79"/>
  <c r="W38" i="79"/>
  <c r="AK38" i="79" s="1"/>
  <c r="AH38" i="79"/>
  <c r="W11" i="79"/>
  <c r="AK11" i="79" s="1"/>
  <c r="AH11" i="79"/>
  <c r="W17" i="79"/>
  <c r="AK17" i="79" s="1"/>
  <c r="AH17" i="79"/>
  <c r="W10" i="79"/>
  <c r="AK10" i="79" s="1"/>
  <c r="AH10" i="79"/>
  <c r="W18" i="79"/>
  <c r="AK18" i="79" s="1"/>
  <c r="AH18" i="79"/>
  <c r="W20" i="79"/>
  <c r="AK20" i="79" s="1"/>
  <c r="AH20" i="79"/>
  <c r="W34" i="79"/>
  <c r="AK34" i="79" s="1"/>
  <c r="AH34"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P67" i="71"/>
  <c r="E66" i="71"/>
  <c r="P65" i="71" s="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9" i="39"/>
  <c r="W29" i="39"/>
  <c r="W18" i="36"/>
  <c r="S21" i="37"/>
  <c r="U21" i="34"/>
  <c r="S21" i="33"/>
  <c r="AC18" i="35"/>
  <c r="J21" i="37"/>
  <c r="W21" i="37" s="1"/>
  <c r="G84" i="34"/>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C21" i="68"/>
  <c r="F20" i="68"/>
  <c r="F39" i="68" s="1"/>
  <c r="E10" i="68"/>
  <c r="E9" i="68"/>
  <c r="C7" i="68"/>
  <c r="C5" i="68" s="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S28" i="31" s="1"/>
  <c r="R29" i="31"/>
  <c r="R30" i="31"/>
  <c r="S30" i="31" s="1"/>
  <c r="R31" i="31"/>
  <c r="S31" i="31" s="1"/>
  <c r="R32" i="31"/>
  <c r="S32" i="31" s="1"/>
  <c r="R33" i="31"/>
  <c r="R34" i="31"/>
  <c r="S34" i="31" s="1"/>
  <c r="R35" i="31"/>
  <c r="S35" i="31" s="1"/>
  <c r="R36" i="31"/>
  <c r="S36" i="31" s="1"/>
  <c r="R37" i="31"/>
  <c r="R38" i="31"/>
  <c r="S38" i="31" s="1"/>
  <c r="R39" i="31"/>
  <c r="R40" i="31"/>
  <c r="S40" i="31" s="1"/>
  <c r="R41" i="31"/>
  <c r="R42" i="31"/>
  <c r="S42" i="31" s="1"/>
  <c r="R43" i="31"/>
  <c r="R44" i="31"/>
  <c r="S44" i="31" s="1"/>
  <c r="R45" i="31"/>
  <c r="R46" i="31"/>
  <c r="S46" i="31" s="1"/>
  <c r="R47" i="31"/>
  <c r="S47" i="31" s="1"/>
  <c r="R48" i="31"/>
  <c r="S48" i="31" s="1"/>
  <c r="R49" i="31"/>
  <c r="R50" i="31"/>
  <c r="S50" i="31" s="1"/>
  <c r="R51" i="31"/>
  <c r="S51" i="31" s="1"/>
  <c r="R52" i="31"/>
  <c r="S52" i="31" s="1"/>
  <c r="R53" i="31"/>
  <c r="R54" i="31"/>
  <c r="S54" i="31" s="1"/>
  <c r="R55" i="31"/>
  <c r="S55" i="31" s="1"/>
  <c r="R56" i="31"/>
  <c r="S56" i="31" s="1"/>
  <c r="R57" i="31"/>
  <c r="R58" i="31"/>
  <c r="S58" i="31" s="1"/>
  <c r="R59" i="31"/>
  <c r="S59" i="31" s="1"/>
  <c r="R60" i="31"/>
  <c r="S60" i="31" s="1"/>
  <c r="R61" i="31"/>
  <c r="R62" i="31"/>
  <c r="S62" i="31" s="1"/>
  <c r="R63" i="31"/>
  <c r="R64" i="31"/>
  <c r="S64" i="31" s="1"/>
  <c r="R65" i="31"/>
  <c r="R66" i="31"/>
  <c r="S66" i="31" s="1"/>
  <c r="R67" i="31"/>
  <c r="R68" i="31"/>
  <c r="S68" i="31" s="1"/>
  <c r="R69" i="31"/>
  <c r="R70" i="31"/>
  <c r="S70" i="31" s="1"/>
  <c r="R71" i="31"/>
  <c r="S71" i="31" s="1"/>
  <c r="R72" i="31"/>
  <c r="S72" i="31" s="1"/>
  <c r="R73" i="31"/>
  <c r="S73" i="31" s="1"/>
  <c r="R74" i="31"/>
  <c r="S74" i="31" s="1"/>
  <c r="R75" i="31"/>
  <c r="S75" i="31" s="1"/>
  <c r="R76" i="31"/>
  <c r="S76" i="31" s="1"/>
  <c r="R77" i="31"/>
  <c r="R78" i="31"/>
  <c r="S78" i="31" s="1"/>
  <c r="R79" i="31"/>
  <c r="R80" i="31"/>
  <c r="S80" i="31" s="1"/>
  <c r="R81" i="31"/>
  <c r="R82" i="31"/>
  <c r="S82" i="31" s="1"/>
  <c r="R83" i="31"/>
  <c r="S83" i="31" s="1"/>
  <c r="R84" i="31"/>
  <c r="S84" i="31" s="1"/>
  <c r="R85" i="31"/>
  <c r="R86" i="31"/>
  <c r="S86" i="31" s="1"/>
  <c r="R87" i="31"/>
  <c r="S87" i="31" s="1"/>
  <c r="R88" i="31"/>
  <c r="S88" i="31" s="1"/>
  <c r="R89" i="31"/>
  <c r="S89" i="31" s="1"/>
  <c r="R90" i="31"/>
  <c r="S90" i="31" s="1"/>
  <c r="R91" i="31"/>
  <c r="R92" i="31"/>
  <c r="S92" i="31" s="1"/>
  <c r="R93" i="31"/>
  <c r="R94" i="31"/>
  <c r="S94" i="31" s="1"/>
  <c r="R95" i="31"/>
  <c r="R96" i="31"/>
  <c r="S96" i="31" s="1"/>
  <c r="R97" i="31"/>
  <c r="S97" i="31" s="1"/>
  <c r="R98" i="31"/>
  <c r="S98" i="31" s="1"/>
  <c r="R99" i="31"/>
  <c r="S99" i="31" s="1"/>
  <c r="R100" i="31"/>
  <c r="S100" i="31" s="1"/>
  <c r="R101" i="31"/>
  <c r="S101" i="31" s="1"/>
  <c r="R102" i="31"/>
  <c r="S102" i="31" s="1"/>
  <c r="R103" i="31"/>
  <c r="S103" i="31" s="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S121" i="31" s="1"/>
  <c r="R122" i="31"/>
  <c r="S122" i="31" s="1"/>
  <c r="R123" i="31"/>
  <c r="S123" i="31" s="1"/>
  <c r="R124" i="31"/>
  <c r="S124" i="31" s="1"/>
  <c r="R125" i="31"/>
  <c r="R126" i="31"/>
  <c r="S126" i="31" s="1"/>
  <c r="R127" i="31"/>
  <c r="S127" i="31" s="1"/>
  <c r="R128" i="31"/>
  <c r="S128" i="31" s="1"/>
  <c r="R129" i="31"/>
  <c r="S129" i="31" s="1"/>
  <c r="R130" i="31"/>
  <c r="S130" i="31" s="1"/>
  <c r="R131" i="31"/>
  <c r="R132" i="31"/>
  <c r="S132" i="31" s="1"/>
  <c r="R133" i="31"/>
  <c r="S133" i="31" s="1"/>
  <c r="R134" i="31"/>
  <c r="S134" i="31" s="1"/>
  <c r="R135" i="31"/>
  <c r="R136" i="31"/>
  <c r="S136" i="31" s="1"/>
  <c r="R137" i="31"/>
  <c r="R138" i="31"/>
  <c r="S138" i="31" s="1"/>
  <c r="R139" i="31"/>
  <c r="S139" i="31" s="1"/>
  <c r="R140" i="31"/>
  <c r="S140" i="31" s="1"/>
  <c r="R141" i="31"/>
  <c r="S141" i="31" s="1"/>
  <c r="R142" i="31"/>
  <c r="S142" i="31" s="1"/>
  <c r="R143" i="31"/>
  <c r="S143" i="31" s="1"/>
  <c r="R144" i="31"/>
  <c r="S144" i="31" s="1"/>
  <c r="R145" i="31"/>
  <c r="R146" i="31"/>
  <c r="S146" i="31" s="1"/>
  <c r="R147" i="31"/>
  <c r="R148" i="31"/>
  <c r="S148" i="31" s="1"/>
  <c r="R149" i="31"/>
  <c r="S149" i="31" s="1"/>
  <c r="R150" i="31"/>
  <c r="S150" i="31" s="1"/>
  <c r="R151" i="31"/>
  <c r="R152" i="31"/>
  <c r="S152" i="31" s="1"/>
  <c r="R153" i="31"/>
  <c r="R154" i="31"/>
  <c r="S154" i="31" s="1"/>
  <c r="R155" i="31"/>
  <c r="S155" i="31" s="1"/>
  <c r="R156" i="31"/>
  <c r="S156" i="31" s="1"/>
  <c r="R157" i="31"/>
  <c r="S157" i="31" s="1"/>
  <c r="R158" i="31"/>
  <c r="S158" i="31" s="1"/>
  <c r="R159" i="31"/>
  <c r="S159" i="31" s="1"/>
  <c r="R160" i="31"/>
  <c r="S160" i="31" s="1"/>
  <c r="R161" i="31"/>
  <c r="R162" i="31"/>
  <c r="S162" i="31" s="1"/>
  <c r="R163" i="31"/>
  <c r="R164" i="31"/>
  <c r="S164" i="31" s="1"/>
  <c r="R165" i="31"/>
  <c r="R166" i="31"/>
  <c r="S166" i="31" s="1"/>
  <c r="R167" i="31"/>
  <c r="R168" i="31"/>
  <c r="S168" i="31" s="1"/>
  <c r="R169" i="31"/>
  <c r="S169" i="31" s="1"/>
  <c r="R170" i="31"/>
  <c r="S170" i="31" s="1"/>
  <c r="R171" i="31"/>
  <c r="S171" i="31" s="1"/>
  <c r="R172" i="31"/>
  <c r="S172" i="31" s="1"/>
  <c r="R173" i="31"/>
  <c r="R174" i="31"/>
  <c r="S174" i="31" s="1"/>
  <c r="R175" i="31"/>
  <c r="S175" i="31" s="1"/>
  <c r="R176" i="31"/>
  <c r="S176" i="31" s="1"/>
  <c r="R177" i="31"/>
  <c r="S177" i="31" s="1"/>
  <c r="R178" i="31"/>
  <c r="S178" i="31" s="1"/>
  <c r="R179" i="31"/>
  <c r="R180" i="31"/>
  <c r="S180" i="31" s="1"/>
  <c r="R181" i="31"/>
  <c r="R182" i="31"/>
  <c r="S182" i="31" s="1"/>
  <c r="R183" i="31"/>
  <c r="R184" i="31"/>
  <c r="S184" i="31" s="1"/>
  <c r="R185" i="31"/>
  <c r="S185" i="31" s="1"/>
  <c r="R186" i="31"/>
  <c r="S186" i="31" s="1"/>
  <c r="R187" i="31"/>
  <c r="S187" i="31" s="1"/>
  <c r="R188" i="31"/>
  <c r="S188" i="31" s="1"/>
  <c r="R189" i="31"/>
  <c r="R190" i="31"/>
  <c r="S190" i="31" s="1"/>
  <c r="R191" i="31"/>
  <c r="S191" i="31" s="1"/>
  <c r="R192" i="31"/>
  <c r="S192" i="31" s="1"/>
  <c r="R193" i="31"/>
  <c r="S193" i="31" s="1"/>
  <c r="R194" i="31"/>
  <c r="S194" i="31" s="1"/>
  <c r="R195" i="31"/>
  <c r="R196" i="31"/>
  <c r="S196" i="31" s="1"/>
  <c r="R197" i="31"/>
  <c r="S197" i="31" s="1"/>
  <c r="R198" i="31"/>
  <c r="S198" i="31" s="1"/>
  <c r="R199" i="31"/>
  <c r="R200" i="31"/>
  <c r="S200" i="31" s="1"/>
  <c r="R201" i="31"/>
  <c r="R202" i="31"/>
  <c r="S202" i="31" s="1"/>
  <c r="R203" i="31"/>
  <c r="S203" i="31" s="1"/>
  <c r="R204" i="31"/>
  <c r="S204" i="31" s="1"/>
  <c r="R205" i="31"/>
  <c r="S205" i="31" s="1"/>
  <c r="R206" i="31"/>
  <c r="S206" i="31" s="1"/>
  <c r="R207" i="31"/>
  <c r="S207" i="31" s="1"/>
  <c r="R208" i="31"/>
  <c r="S208" i="31" s="1"/>
  <c r="R209" i="31"/>
  <c r="R210" i="31"/>
  <c r="S210" i="31" s="1"/>
  <c r="R211" i="31"/>
  <c r="R212" i="31"/>
  <c r="S212" i="31" s="1"/>
  <c r="R213" i="31"/>
  <c r="S213" i="31" s="1"/>
  <c r="R214" i="31"/>
  <c r="S214" i="31" s="1"/>
  <c r="R215" i="31"/>
  <c r="R216" i="31"/>
  <c r="S216" i="31" s="1"/>
  <c r="R217" i="31"/>
  <c r="R218" i="31"/>
  <c r="S218" i="31" s="1"/>
  <c r="R219" i="31"/>
  <c r="S219" i="31" s="1"/>
  <c r="R220" i="31"/>
  <c r="S220" i="31" s="1"/>
  <c r="R221" i="31"/>
  <c r="S221" i="31" s="1"/>
  <c r="R222" i="31"/>
  <c r="S222" i="31" s="1"/>
  <c r="R223" i="31"/>
  <c r="R224" i="31"/>
  <c r="S224" i="31" s="1"/>
  <c r="R225" i="31"/>
  <c r="R226" i="31"/>
  <c r="S226" i="31" s="1"/>
  <c r="R227" i="31"/>
  <c r="R228" i="31"/>
  <c r="S228" i="31" s="1"/>
  <c r="R229" i="31"/>
  <c r="S229" i="31" s="1"/>
  <c r="R230" i="31"/>
  <c r="S230" i="31" s="1"/>
  <c r="R231" i="31"/>
  <c r="S231" i="31" s="1"/>
  <c r="R232" i="31"/>
  <c r="S232" i="31" s="1"/>
  <c r="R233" i="31"/>
  <c r="R234" i="31"/>
  <c r="S234" i="31" s="1"/>
  <c r="R235" i="31"/>
  <c r="S235" i="31" s="1"/>
  <c r="R236" i="31"/>
  <c r="S236" i="31" s="1"/>
  <c r="R237" i="31"/>
  <c r="S237" i="31" s="1"/>
  <c r="R238" i="31"/>
  <c r="S238" i="31" s="1"/>
  <c r="R239" i="31"/>
  <c r="R240" i="31"/>
  <c r="S240" i="31" s="1"/>
  <c r="R241" i="31"/>
  <c r="R242" i="31"/>
  <c r="S242" i="31" s="1"/>
  <c r="R243" i="3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S429" i="31" s="1"/>
  <c r="R430" i="31"/>
  <c r="S430" i="31" s="1"/>
  <c r="R431" i="31"/>
  <c r="S431" i="31" s="1"/>
  <c r="R432" i="31"/>
  <c r="R433" i="31"/>
  <c r="R434" i="31"/>
  <c r="S434" i="31" s="1"/>
  <c r="R435" i="31"/>
  <c r="S435" i="31" s="1"/>
  <c r="R436" i="31"/>
  <c r="S436" i="31" s="1"/>
  <c r="R437" i="31"/>
  <c r="S437" i="31" s="1"/>
  <c r="R438" i="31"/>
  <c r="S438" i="31" s="1"/>
  <c r="R439" i="31"/>
  <c r="R440" i="31"/>
  <c r="S440" i="31" s="1"/>
  <c r="R441" i="31"/>
  <c r="S441" i="31" s="1"/>
  <c r="R442" i="31"/>
  <c r="S442" i="31" s="1"/>
  <c r="R443" i="31"/>
  <c r="S443" i="31" s="1"/>
  <c r="R444" i="31"/>
  <c r="S444" i="31" s="1"/>
  <c r="R445" i="31"/>
  <c r="S445" i="31" s="1"/>
  <c r="R446" i="31"/>
  <c r="S446" i="31" s="1"/>
  <c r="R447" i="31"/>
  <c r="S447" i="31" s="1"/>
  <c r="R448" i="31"/>
  <c r="S448" i="31" s="1"/>
  <c r="R449" i="31"/>
  <c r="R450" i="31"/>
  <c r="S450" i="31" s="1"/>
  <c r="R451" i="31"/>
  <c r="R452" i="31"/>
  <c r="S452" i="31" s="1"/>
  <c r="R453" i="31"/>
  <c r="S453" i="31" s="1"/>
  <c r="R454" i="31"/>
  <c r="S454" i="31" s="1"/>
  <c r="R455" i="31"/>
  <c r="S455" i="31" s="1"/>
  <c r="R456" i="31"/>
  <c r="R457" i="31"/>
  <c r="R458" i="31"/>
  <c r="S458" i="31" s="1"/>
  <c r="R459" i="31"/>
  <c r="S459" i="31" s="1"/>
  <c r="R460" i="31"/>
  <c r="S460" i="31" s="1"/>
  <c r="R461" i="31"/>
  <c r="S461" i="31" s="1"/>
  <c r="R462" i="31"/>
  <c r="S462" i="31" s="1"/>
  <c r="R463" i="31"/>
  <c r="R464" i="31"/>
  <c r="S464" i="31" s="1"/>
  <c r="R465" i="31"/>
  <c r="S465" i="31" s="1"/>
  <c r="R466" i="31"/>
  <c r="S466" i="31" s="1"/>
  <c r="R467" i="31"/>
  <c r="S467" i="31" s="1"/>
  <c r="R468" i="31"/>
  <c r="S468" i="31" s="1"/>
  <c r="R469" i="31"/>
  <c r="R470" i="31"/>
  <c r="S470" i="31" s="1"/>
  <c r="R471" i="31"/>
  <c r="R472" i="31"/>
  <c r="S472" i="31" s="1"/>
  <c r="R473" i="31"/>
  <c r="S473" i="31" s="1"/>
  <c r="R474" i="31"/>
  <c r="S474" i="31" s="1"/>
  <c r="R475" i="31"/>
  <c r="S475" i="31" s="1"/>
  <c r="R476" i="31"/>
  <c r="S476" i="31" s="1"/>
  <c r="R477" i="31"/>
  <c r="S477" i="31" s="1"/>
  <c r="R478" i="31"/>
  <c r="S478" i="31" s="1"/>
  <c r="R479" i="31"/>
  <c r="R480" i="31"/>
  <c r="S480" i="31" s="1"/>
  <c r="R481" i="31"/>
  <c r="S481" i="31" s="1"/>
  <c r="R482" i="31"/>
  <c r="S482" i="31" s="1"/>
  <c r="R483" i="31"/>
  <c r="S483" i="31" s="1"/>
  <c r="R484" i="31"/>
  <c r="S484" i="31" s="1"/>
  <c r="R485" i="31"/>
  <c r="S485" i="31" s="1"/>
  <c r="R486" i="31"/>
  <c r="S486" i="31" s="1"/>
  <c r="R487" i="31"/>
  <c r="R488" i="31"/>
  <c r="S488" i="31" s="1"/>
  <c r="R489" i="31"/>
  <c r="R490" i="31"/>
  <c r="S490" i="31" s="1"/>
  <c r="R491" i="31"/>
  <c r="S491" i="31" s="1"/>
  <c r="R492" i="31"/>
  <c r="S492" i="31" s="1"/>
  <c r="R493" i="31"/>
  <c r="S493" i="31" s="1"/>
  <c r="R494" i="31"/>
  <c r="S494" i="31" s="1"/>
  <c r="R495" i="31"/>
  <c r="R496" i="31"/>
  <c r="S496" i="31" s="1"/>
  <c r="R497" i="31"/>
  <c r="S497" i="31" s="1"/>
  <c r="R498" i="31"/>
  <c r="S498" i="31" s="1"/>
  <c r="R499" i="31"/>
  <c r="S499" i="31" s="1"/>
  <c r="R500" i="31"/>
  <c r="S500" i="31" s="1"/>
  <c r="R501" i="31"/>
  <c r="R502" i="31"/>
  <c r="S502" i="31" s="1"/>
  <c r="R503" i="31"/>
  <c r="R504" i="31"/>
  <c r="S504" i="31" s="1"/>
  <c r="R505" i="31"/>
  <c r="R506" i="31"/>
  <c r="S506" i="31" s="1"/>
  <c r="R507" i="31"/>
  <c r="R508" i="31"/>
  <c r="R509" i="31"/>
  <c r="S509" i="31" s="1"/>
  <c r="R510" i="31"/>
  <c r="S510" i="31" s="1"/>
  <c r="R511" i="31"/>
  <c r="S511" i="31" s="1"/>
  <c r="R512" i="31"/>
  <c r="S512" i="31" s="1"/>
  <c r="R513" i="31"/>
  <c r="R514" i="31"/>
  <c r="S514" i="31" s="1"/>
  <c r="R515" i="31"/>
  <c r="S515" i="31" s="1"/>
  <c r="R516" i="31"/>
  <c r="S516" i="31" s="1"/>
  <c r="R517" i="31"/>
  <c r="S517" i="31" s="1"/>
  <c r="R518" i="31"/>
  <c r="S518" i="31" s="1"/>
  <c r="R519" i="31"/>
  <c r="R520" i="31"/>
  <c r="S520" i="31" s="1"/>
  <c r="R521" i="31"/>
  <c r="R522" i="31"/>
  <c r="S522" i="31" s="1"/>
  <c r="R523" i="31"/>
  <c r="S523" i="31" s="1"/>
  <c r="R524" i="31"/>
  <c r="S524" i="31" s="1"/>
  <c r="C25" i="31"/>
  <c r="R25" i="31" s="1"/>
  <c r="K5" i="80" s="1"/>
  <c r="N5" i="80" s="1"/>
  <c r="C26" i="31"/>
  <c r="R26" i="31" s="1"/>
  <c r="K6" i="80" s="1"/>
  <c r="N6" i="80" s="1"/>
  <c r="C27" i="31"/>
  <c r="R27" i="31" s="1"/>
  <c r="K7" i="80" s="1"/>
  <c r="N7" i="80" s="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62" i="31"/>
  <c r="S249" i="31"/>
  <c r="S243" i="31"/>
  <c r="S241" i="31"/>
  <c r="S239" i="31"/>
  <c r="S233" i="31"/>
  <c r="S227" i="31"/>
  <c r="S225" i="31"/>
  <c r="S223" i="31"/>
  <c r="S425" i="31"/>
  <c r="S217" i="31"/>
  <c r="S215" i="31"/>
  <c r="S211" i="31"/>
  <c r="S209" i="31"/>
  <c r="S201" i="31"/>
  <c r="S199" i="31"/>
  <c r="S195" i="31"/>
  <c r="S189" i="31"/>
  <c r="S183" i="31"/>
  <c r="S181" i="31"/>
  <c r="S179" i="31"/>
  <c r="S173" i="31"/>
  <c r="S167" i="31"/>
  <c r="S165" i="31"/>
  <c r="S163" i="31"/>
  <c r="S161" i="31"/>
  <c r="S153" i="31"/>
  <c r="S151" i="31"/>
  <c r="S147" i="31"/>
  <c r="S145" i="31"/>
  <c r="S137" i="31"/>
  <c r="S135" i="31"/>
  <c r="S131" i="31"/>
  <c r="S125" i="31"/>
  <c r="S495" i="31"/>
  <c r="S489" i="31"/>
  <c r="S487" i="31"/>
  <c r="S479" i="31"/>
  <c r="S471" i="31"/>
  <c r="S469" i="31"/>
  <c r="S439" i="31"/>
  <c r="S433" i="31"/>
  <c r="S432" i="31"/>
  <c r="S119" i="31"/>
  <c r="S117" i="31"/>
  <c r="S115" i="31"/>
  <c r="S113" i="31"/>
  <c r="S463" i="31"/>
  <c r="S457" i="31"/>
  <c r="S456" i="31"/>
  <c r="S451" i="31"/>
  <c r="S53" i="31"/>
  <c r="S49" i="31"/>
  <c r="S45" i="31"/>
  <c r="S43" i="31"/>
  <c r="S41" i="31"/>
  <c r="S39" i="31"/>
  <c r="S37" i="31"/>
  <c r="S33" i="31"/>
  <c r="S77" i="31"/>
  <c r="S69" i="31"/>
  <c r="S67" i="31"/>
  <c r="S65" i="31"/>
  <c r="S63" i="31"/>
  <c r="S61" i="31"/>
  <c r="S57" i="31"/>
  <c r="S24" i="31"/>
  <c r="S95" i="31"/>
  <c r="S93" i="31"/>
  <c r="S91" i="31"/>
  <c r="S85" i="31"/>
  <c r="S81" i="31"/>
  <c r="S79" i="31"/>
  <c r="S29" i="31"/>
  <c r="S105" i="31"/>
  <c r="S107" i="31"/>
  <c r="S109" i="31"/>
  <c r="S111" i="31"/>
  <c r="S449" i="31"/>
  <c r="S507" i="31"/>
  <c r="S508" i="31"/>
  <c r="S513"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A493" i="3" s="1"/>
  <c r="BE493" i="3"/>
  <c r="BF493" i="3"/>
  <c r="BG493" i="3"/>
  <c r="BH493" i="3"/>
  <c r="BI493" i="3"/>
  <c r="BJ493" i="3"/>
  <c r="BK493" i="3"/>
  <c r="BM493" i="3"/>
  <c r="BN493" i="3"/>
  <c r="BO493" i="3"/>
  <c r="BP493" i="3"/>
  <c r="BR493" i="3"/>
  <c r="BS493" i="3"/>
  <c r="BT493" i="3"/>
  <c r="H494" i="3"/>
  <c r="AC494" i="3"/>
  <c r="BB494" i="3"/>
  <c r="BC494" i="3"/>
  <c r="BD494" i="3"/>
  <c r="BE494" i="3"/>
  <c r="BA494" i="3" s="1"/>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L496" i="3" s="1"/>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L498" i="3" s="1"/>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A500" i="3" s="1"/>
  <c r="BE500" i="3"/>
  <c r="BF500" i="3"/>
  <c r="BG500" i="3"/>
  <c r="BH500" i="3"/>
  <c r="BI500" i="3"/>
  <c r="BJ500" i="3"/>
  <c r="BK500" i="3"/>
  <c r="BM500" i="3"/>
  <c r="BN500" i="3"/>
  <c r="BO500" i="3"/>
  <c r="BP500" i="3"/>
  <c r="BQ500" i="3"/>
  <c r="BR500" i="3"/>
  <c r="BS500" i="3"/>
  <c r="BT500" i="3"/>
  <c r="H501" i="3"/>
  <c r="AC501" i="3"/>
  <c r="BB501" i="3"/>
  <c r="BC501" i="3"/>
  <c r="BD501" i="3"/>
  <c r="BA501" i="3" s="1"/>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A506" i="3" s="1"/>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L514" i="3" s="1"/>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L516" i="3" s="1"/>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A518" i="3" s="1"/>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L528" i="3" s="1"/>
  <c r="BN528" i="3"/>
  <c r="BO528" i="3"/>
  <c r="BP528" i="3"/>
  <c r="BQ528" i="3"/>
  <c r="BR528" i="3"/>
  <c r="BS528" i="3"/>
  <c r="BT528" i="3"/>
  <c r="H529" i="3"/>
  <c r="AC529" i="3"/>
  <c r="BB529" i="3"/>
  <c r="BC529" i="3"/>
  <c r="BD529" i="3"/>
  <c r="BA529" i="3" s="1"/>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A532" i="3" s="1"/>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L534" i="3" s="1"/>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A536" i="3" s="1"/>
  <c r="BE536" i="3"/>
  <c r="BF536" i="3"/>
  <c r="BG536" i="3"/>
  <c r="BH536" i="3"/>
  <c r="BI536" i="3"/>
  <c r="BJ536" i="3"/>
  <c r="BK536" i="3"/>
  <c r="BM536" i="3"/>
  <c r="BL536" i="3" s="1"/>
  <c r="BN536" i="3"/>
  <c r="BO536" i="3"/>
  <c r="BP536" i="3"/>
  <c r="BQ536" i="3"/>
  <c r="BR536" i="3"/>
  <c r="BS536" i="3"/>
  <c r="BT536" i="3"/>
  <c r="H537" i="3"/>
  <c r="AC537" i="3"/>
  <c r="BB537" i="3"/>
  <c r="BC537" i="3"/>
  <c r="BD537" i="3"/>
  <c r="BA537" i="3" s="1"/>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A545" i="3" s="1"/>
  <c r="BE545" i="3"/>
  <c r="BF545" i="3"/>
  <c r="BG545" i="3"/>
  <c r="BH545" i="3"/>
  <c r="BI545" i="3"/>
  <c r="BJ545" i="3"/>
  <c r="BK545" i="3"/>
  <c r="BM545" i="3"/>
  <c r="BN545" i="3"/>
  <c r="BO545" i="3"/>
  <c r="BP545" i="3"/>
  <c r="BR545" i="3"/>
  <c r="BS545" i="3"/>
  <c r="BT545" i="3"/>
  <c r="H546" i="3"/>
  <c r="AC546" i="3"/>
  <c r="BB546" i="3"/>
  <c r="BC546" i="3"/>
  <c r="BD546" i="3"/>
  <c r="BE546" i="3"/>
  <c r="BA546" i="3" s="1"/>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L556" i="3" s="1"/>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A564" i="3" s="1"/>
  <c r="BE564" i="3"/>
  <c r="BF564" i="3"/>
  <c r="BG564" i="3"/>
  <c r="BH564" i="3"/>
  <c r="BI564" i="3"/>
  <c r="BJ564" i="3"/>
  <c r="BK564" i="3"/>
  <c r="BM564" i="3"/>
  <c r="BN564" i="3"/>
  <c r="BO564" i="3"/>
  <c r="BP564" i="3"/>
  <c r="BQ564" i="3"/>
  <c r="BR564" i="3"/>
  <c r="BS564" i="3"/>
  <c r="BT564" i="3"/>
  <c r="H565" i="3"/>
  <c r="AC565" i="3"/>
  <c r="BB565" i="3"/>
  <c r="BC565" i="3"/>
  <c r="BD565" i="3"/>
  <c r="BA565" i="3" s="1"/>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A572" i="3" s="1"/>
  <c r="BC572" i="3"/>
  <c r="BD572" i="3"/>
  <c r="BE572" i="3"/>
  <c r="BF572" i="3"/>
  <c r="BG572" i="3"/>
  <c r="BH572" i="3"/>
  <c r="BI572" i="3"/>
  <c r="BJ572" i="3"/>
  <c r="BK572" i="3"/>
  <c r="BM572" i="3"/>
  <c r="BN572" i="3"/>
  <c r="BO572" i="3"/>
  <c r="BL572" i="3" s="1"/>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L574" i="3" s="1"/>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U31" i="35" s="1"/>
  <c r="F31" i="35"/>
  <c r="AA31" i="35" s="1"/>
  <c r="D87" i="35"/>
  <c r="E87" i="35" s="1"/>
  <c r="F87" i="35" s="1"/>
  <c r="G87" i="35"/>
  <c r="H87" i="35" s="1"/>
  <c r="I87" i="35" s="1"/>
  <c r="J87" i="35" s="1"/>
  <c r="K87" i="35" s="1"/>
  <c r="L87" i="35" s="1"/>
  <c r="M87" i="35" s="1"/>
  <c r="H34" i="37"/>
  <c r="U34" i="37" s="1"/>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c r="F111" i="33"/>
  <c r="S519" i="31"/>
  <c r="S521"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F88" i="40" s="1"/>
  <c r="G88" i="40" s="1"/>
  <c r="D86" i="40"/>
  <c r="E86" i="40" s="1"/>
  <c r="F86" i="40" s="1"/>
  <c r="G86" i="40"/>
  <c r="D84" i="40"/>
  <c r="E84" i="40" s="1"/>
  <c r="F84" i="40" s="1"/>
  <c r="G84" i="40" s="1"/>
  <c r="B81" i="40"/>
  <c r="B79" i="40"/>
  <c r="B77" i="40"/>
  <c r="F12" i="40" s="1"/>
  <c r="S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F40" i="37" s="1"/>
  <c r="AA40" i="37" s="1"/>
  <c r="D107" i="37"/>
  <c r="E107" i="37"/>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J25" i="36" s="1"/>
  <c r="W25" i="36" s="1"/>
  <c r="B73" i="36"/>
  <c r="B71" i="36"/>
  <c r="H23" i="36" s="1"/>
  <c r="AB23" i="36" s="1"/>
  <c r="D70" i="36"/>
  <c r="H22" i="36"/>
  <c r="AB22" i="36" s="1"/>
  <c r="D68" i="36"/>
  <c r="E68" i="36" s="1"/>
  <c r="F68" i="36"/>
  <c r="G68" i="36"/>
  <c r="D64" i="36"/>
  <c r="E64" i="36" s="1"/>
  <c r="F64" i="36" s="1"/>
  <c r="G64" i="36" s="1"/>
  <c r="J16" i="36"/>
  <c r="W16" i="36" s="1"/>
  <c r="D62" i="36"/>
  <c r="E62" i="36" s="1"/>
  <c r="F62" i="36"/>
  <c r="G62" i="36" s="1"/>
  <c r="B59" i="36"/>
  <c r="H13" i="36" s="1"/>
  <c r="AB13" i="36" s="1"/>
  <c r="B57" i="36"/>
  <c r="J12" i="36" s="1"/>
  <c r="B55" i="36"/>
  <c r="C51" i="36"/>
  <c r="P37" i="36"/>
  <c r="P36" i="36"/>
  <c r="V35" i="36"/>
  <c r="T35" i="36"/>
  <c r="R35" i="36"/>
  <c r="P35" i="36"/>
  <c r="Q34" i="36"/>
  <c r="Z34" i="36"/>
  <c r="Q33" i="36"/>
  <c r="Z33" i="36" s="1"/>
  <c r="Q32" i="36"/>
  <c r="Z32" i="36"/>
  <c r="Q31" i="36"/>
  <c r="Z31" i="36" s="1"/>
  <c r="Q30" i="36"/>
  <c r="Z30" i="36" s="1"/>
  <c r="Q29" i="36"/>
  <c r="Z29" i="36" s="1"/>
  <c r="Q28" i="36"/>
  <c r="Z28" i="36" s="1"/>
  <c r="J28" i="36"/>
  <c r="AC28" i="36" s="1"/>
  <c r="Q27" i="36"/>
  <c r="Z27" i="36"/>
  <c r="Q26" i="36"/>
  <c r="Z26" i="36" s="1"/>
  <c r="H26" i="36"/>
  <c r="AB26" i="36" s="1"/>
  <c r="Q25" i="36"/>
  <c r="Z25" i="36" s="1"/>
  <c r="Q24" i="36"/>
  <c r="Z24" i="36" s="1"/>
  <c r="Q23" i="36"/>
  <c r="Z23" i="36"/>
  <c r="J23" i="36"/>
  <c r="AC23" i="36" s="1"/>
  <c r="F23" i="36"/>
  <c r="AA23" i="36"/>
  <c r="Q22" i="36"/>
  <c r="Z22" i="36" s="1"/>
  <c r="J22" i="36"/>
  <c r="AC22" i="36" s="1"/>
  <c r="Q20" i="36"/>
  <c r="Z20" i="36" s="1"/>
  <c r="Q16" i="36"/>
  <c r="Z16" i="36" s="1"/>
  <c r="Q14" i="36"/>
  <c r="Z14" i="36" s="1"/>
  <c r="Q13" i="36"/>
  <c r="Z13" i="36"/>
  <c r="Q12" i="36"/>
  <c r="Z12" i="36" s="1"/>
  <c r="H12" i="36"/>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J35" i="35" s="1"/>
  <c r="AC35" i="35" s="1"/>
  <c r="B97" i="35"/>
  <c r="B77" i="35"/>
  <c r="B75" i="35"/>
  <c r="J24" i="35" s="1"/>
  <c r="AC24" i="35" s="1"/>
  <c r="B73" i="35"/>
  <c r="J23" i="35" s="1"/>
  <c r="AC23" i="35" s="1"/>
  <c r="H23" i="35"/>
  <c r="U23" i="35" s="1"/>
  <c r="B57" i="35"/>
  <c r="B61" i="35"/>
  <c r="J13" i="35" s="1"/>
  <c r="AC13" i="35" s="1"/>
  <c r="B59" i="35"/>
  <c r="F12" i="35" s="1"/>
  <c r="B131" i="34"/>
  <c r="B129" i="34"/>
  <c r="H46" i="34" s="1"/>
  <c r="U46" i="34" s="1"/>
  <c r="B127" i="34"/>
  <c r="F45" i="34" s="1"/>
  <c r="S45" i="34" s="1"/>
  <c r="B99" i="34"/>
  <c r="B97" i="34"/>
  <c r="B95" i="34"/>
  <c r="B93" i="34"/>
  <c r="H29" i="34" s="1"/>
  <c r="AB29" i="34" s="1"/>
  <c r="B75" i="34"/>
  <c r="B73" i="34"/>
  <c r="B71" i="34"/>
  <c r="B130" i="33"/>
  <c r="J46" i="33" s="1"/>
  <c r="AC46" i="33" s="1"/>
  <c r="B128" i="33"/>
  <c r="B126" i="33"/>
  <c r="B98" i="33"/>
  <c r="J31" i="33" s="1"/>
  <c r="B96" i="33"/>
  <c r="H30" i="33" s="1"/>
  <c r="AB30" i="33" s="1"/>
  <c r="B94" i="33"/>
  <c r="B74" i="33"/>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c r="J8" i="34"/>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c r="J40" i="33"/>
  <c r="H40" i="33"/>
  <c r="AB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F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c r="W45" i="21" s="1"/>
  <c r="B126" i="21"/>
  <c r="B98" i="21"/>
  <c r="H31" i="21" s="1"/>
  <c r="B96" i="21"/>
  <c r="B94" i="21"/>
  <c r="H29" i="21" s="1"/>
  <c r="U29" i="21" s="1"/>
  <c r="J29" i="21"/>
  <c r="AC29" i="21" s="1"/>
  <c r="B92" i="21"/>
  <c r="B90" i="21"/>
  <c r="H27" i="21" s="1"/>
  <c r="J27" i="21"/>
  <c r="W27" i="21" s="1"/>
  <c r="B74" i="21"/>
  <c r="B72" i="21"/>
  <c r="J13" i="21" s="1"/>
  <c r="AC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c r="H43" i="21"/>
  <c r="AB43" i="21" s="1"/>
  <c r="F38" i="21"/>
  <c r="S38" i="21"/>
  <c r="F36" i="21"/>
  <c r="S36" i="21" s="1"/>
  <c r="F39" i="21"/>
  <c r="AA39" i="21"/>
  <c r="J40" i="21"/>
  <c r="W40" i="21" s="1"/>
  <c r="H35" i="21"/>
  <c r="AB35" i="21" s="1"/>
  <c r="J8" i="21"/>
  <c r="AC8" i="21" s="1"/>
  <c r="H8" i="21"/>
  <c r="U8" i="21" s="1"/>
  <c r="H10" i="21"/>
  <c r="AB10" i="21" s="1"/>
  <c r="H39" i="21"/>
  <c r="U39" i="21"/>
  <c r="J34" i="21"/>
  <c r="W34" i="21"/>
  <c r="H36" i="21"/>
  <c r="U36" i="21"/>
  <c r="F35" i="21"/>
  <c r="AA35" i="21" s="1"/>
  <c r="J10" i="21"/>
  <c r="AC10" i="21" s="1"/>
  <c r="H26" i="21"/>
  <c r="AB26" i="21" s="1"/>
  <c r="AB19" i="21"/>
  <c r="J19" i="21"/>
  <c r="W19" i="21" s="1"/>
  <c r="J26" i="21"/>
  <c r="W26" i="21"/>
  <c r="F26" i="21"/>
  <c r="S26" i="21" s="1"/>
  <c r="AB41" i="21"/>
  <c r="S41" i="21"/>
  <c r="AA41" i="21"/>
  <c r="F45" i="39"/>
  <c r="S45" i="39"/>
  <c r="J45" i="39"/>
  <c r="W45" i="39" s="1"/>
  <c r="J44" i="39"/>
  <c r="AC44" i="39" s="1"/>
  <c r="F36" i="39"/>
  <c r="S36" i="39" s="1"/>
  <c r="H36" i="39"/>
  <c r="AB36" i="39" s="1"/>
  <c r="J35" i="39"/>
  <c r="AC35" i="39" s="1"/>
  <c r="F35" i="39"/>
  <c r="AA35" i="39"/>
  <c r="J36" i="39"/>
  <c r="AC36" i="39" s="1"/>
  <c r="W40" i="39"/>
  <c r="W25" i="37"/>
  <c r="U30"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W22" i="35"/>
  <c r="S31" i="35"/>
  <c r="U34" i="35"/>
  <c r="F36" i="34"/>
  <c r="J35" i="34"/>
  <c r="U34" i="34"/>
  <c r="H39" i="33"/>
  <c r="AB39" i="33"/>
  <c r="F26" i="33"/>
  <c r="AA26" i="33" s="1"/>
  <c r="U33" i="33"/>
  <c r="U35" i="33"/>
  <c r="S40" i="33"/>
  <c r="W39" i="33"/>
  <c r="H39" i="37"/>
  <c r="AB39" i="37"/>
  <c r="F11" i="40"/>
  <c r="AA11" i="40"/>
  <c r="H11" i="40"/>
  <c r="AB11" i="40" s="1"/>
  <c r="AB39" i="40"/>
  <c r="AA9" i="40"/>
  <c r="W31" i="40"/>
  <c r="U34" i="40"/>
  <c r="F42" i="39"/>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J23" i="40"/>
  <c r="AC23" i="40"/>
  <c r="F21" i="40"/>
  <c r="AA21" i="40" s="1"/>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s="1"/>
  <c r="H23" i="40"/>
  <c r="AB23" i="40" s="1"/>
  <c r="H17" i="40"/>
  <c r="U17" i="40"/>
  <c r="J15" i="40"/>
  <c r="W15" i="40" s="1"/>
  <c r="J11" i="40"/>
  <c r="W11" i="40"/>
  <c r="AB8" i="39"/>
  <c r="AB12" i="35"/>
  <c r="AB12" i="36"/>
  <c r="W32" i="40"/>
  <c r="F37" i="39"/>
  <c r="AA37"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S35" i="34"/>
  <c r="F28" i="34"/>
  <c r="F25" i="34"/>
  <c r="S25" i="34" s="1"/>
  <c r="H23" i="34"/>
  <c r="U23" i="34" s="1"/>
  <c r="J23" i="34"/>
  <c r="F19" i="34"/>
  <c r="H17" i="34"/>
  <c r="U17" i="34" s="1"/>
  <c r="F15" i="34"/>
  <c r="AA15" i="34" s="1"/>
  <c r="J15" i="34"/>
  <c r="H15" i="34"/>
  <c r="AB15" i="34" s="1"/>
  <c r="J28" i="34"/>
  <c r="W28" i="34"/>
  <c r="F41" i="33"/>
  <c r="AA41" i="33" s="1"/>
  <c r="S38" i="33"/>
  <c r="E113" i="33"/>
  <c r="F32" i="33"/>
  <c r="AA32" i="33" s="1"/>
  <c r="J19" i="33"/>
  <c r="AC19" i="33" s="1"/>
  <c r="J15" i="33"/>
  <c r="AC15" i="33" s="1"/>
  <c r="F11" i="33"/>
  <c r="AA11" i="33" s="1"/>
  <c r="S26" i="33"/>
  <c r="U40" i="33"/>
  <c r="F37" i="40"/>
  <c r="AA37" i="40"/>
  <c r="F36" i="40"/>
  <c r="AA36" i="40" s="1"/>
  <c r="H28" i="40"/>
  <c r="U28" i="40" s="1"/>
  <c r="F23" i="40"/>
  <c r="AA23" i="40" s="1"/>
  <c r="F17" i="40"/>
  <c r="AA17" i="40" s="1"/>
  <c r="J17" i="40"/>
  <c r="W17" i="40" s="1"/>
  <c r="F15" i="40"/>
  <c r="S15" i="40" s="1"/>
  <c r="H15" i="40"/>
  <c r="AB15" i="40" s="1"/>
  <c r="AC11" i="40"/>
  <c r="AA12" i="36"/>
  <c r="AB30" i="36"/>
  <c r="F29" i="35"/>
  <c r="S29" i="35" s="1"/>
  <c r="H29" i="35"/>
  <c r="AB29" i="35" s="1"/>
  <c r="H33" i="37"/>
  <c r="F33" i="37"/>
  <c r="AA33" i="37" s="1"/>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c r="J17" i="34"/>
  <c r="W17" i="34" s="1"/>
  <c r="S41" i="33"/>
  <c r="F113" i="33"/>
  <c r="G113" i="33" s="1"/>
  <c r="H113" i="33" s="1"/>
  <c r="I113" i="33" s="1"/>
  <c r="J113" i="33" s="1"/>
  <c r="K113" i="33" s="1"/>
  <c r="L113" i="33"/>
  <c r="M113" i="33" s="1"/>
  <c r="H37" i="33"/>
  <c r="AB37" i="33" s="1"/>
  <c r="H15" i="33"/>
  <c r="AB15" i="33" s="1"/>
  <c r="H11" i="33"/>
  <c r="AB11" i="33" s="1"/>
  <c r="F28" i="40"/>
  <c r="AA28" i="40" s="1"/>
  <c r="AA42" i="34"/>
  <c r="S42" i="34"/>
  <c r="AA38" i="34"/>
  <c r="J37" i="34"/>
  <c r="AC37" i="34" s="1"/>
  <c r="J11" i="33"/>
  <c r="W11" i="33" s="1"/>
  <c r="M123" i="21"/>
  <c r="J42" i="21"/>
  <c r="AC42" i="21" s="1"/>
  <c r="H42" i="21"/>
  <c r="U42" i="21"/>
  <c r="J44" i="34"/>
  <c r="F44" i="34"/>
  <c r="AA44" i="34" s="1"/>
  <c r="J10" i="35"/>
  <c r="AC10" i="35" s="1"/>
  <c r="J14" i="21"/>
  <c r="W14" i="21" s="1"/>
  <c r="F14" i="21"/>
  <c r="S14" i="21" s="1"/>
  <c r="H14" i="21"/>
  <c r="U14" i="21"/>
  <c r="H28" i="21"/>
  <c r="AB28" i="21" s="1"/>
  <c r="F28" i="21"/>
  <c r="AA28" i="21"/>
  <c r="J28" i="21"/>
  <c r="W28" i="21" s="1"/>
  <c r="H30" i="21"/>
  <c r="U30" i="21" s="1"/>
  <c r="F30" i="21"/>
  <c r="S30" i="21" s="1"/>
  <c r="J30" i="21"/>
  <c r="AC30" i="21" s="1"/>
  <c r="H44" i="21"/>
  <c r="U44" i="21" s="1"/>
  <c r="J46" i="21"/>
  <c r="E119" i="21"/>
  <c r="F119" i="21" s="1"/>
  <c r="G119" i="21" s="1"/>
  <c r="H119" i="21" s="1"/>
  <c r="I119" i="21" s="1"/>
  <c r="J119" i="21" s="1"/>
  <c r="K119" i="21" s="1"/>
  <c r="L119" i="21" s="1"/>
  <c r="M119" i="21" s="1"/>
  <c r="H26" i="33"/>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AB27" i="21"/>
  <c r="F27" i="21"/>
  <c r="AA27" i="21" s="1"/>
  <c r="J31" i="21"/>
  <c r="AC31" i="21" s="1"/>
  <c r="F31" i="21"/>
  <c r="S31" i="21" s="1"/>
  <c r="F45" i="21"/>
  <c r="AA45" i="21" s="1"/>
  <c r="F27" i="33"/>
  <c r="AA27" i="33"/>
  <c r="F13" i="33"/>
  <c r="S13" i="33" s="1"/>
  <c r="J29" i="33"/>
  <c r="H29" i="33"/>
  <c r="U29" i="33"/>
  <c r="F29" i="33"/>
  <c r="S29" i="33" s="1"/>
  <c r="H31" i="33"/>
  <c r="F31" i="33"/>
  <c r="H45" i="33"/>
  <c r="U45" i="33" s="1"/>
  <c r="J45" i="33"/>
  <c r="W45" i="33" s="1"/>
  <c r="F45" i="33"/>
  <c r="J14" i="34"/>
  <c r="W14" i="34" s="1"/>
  <c r="F14" i="34"/>
  <c r="S14" i="34" s="1"/>
  <c r="H14" i="34"/>
  <c r="F30" i="34"/>
  <c r="S30" i="34" s="1"/>
  <c r="H32" i="34"/>
  <c r="F32" i="34"/>
  <c r="J32" i="34"/>
  <c r="W32" i="34" s="1"/>
  <c r="F46" i="34"/>
  <c r="J46" i="34"/>
  <c r="F11" i="35"/>
  <c r="S11" i="35" s="1"/>
  <c r="J26" i="36"/>
  <c r="W26" i="36" s="1"/>
  <c r="H28" i="36"/>
  <c r="U28" i="36" s="1"/>
  <c r="H32" i="36"/>
  <c r="AB32" i="36" s="1"/>
  <c r="J32" i="36"/>
  <c r="W32" i="36" s="1"/>
  <c r="J11" i="36"/>
  <c r="AC11" i="36" s="1"/>
  <c r="H11" i="36"/>
  <c r="U11" i="36" s="1"/>
  <c r="F11" i="36"/>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H14" i="33"/>
  <c r="U14" i="33" s="1"/>
  <c r="F14" i="33"/>
  <c r="S14" i="33"/>
  <c r="J14" i="33"/>
  <c r="F30" i="33"/>
  <c r="J30" i="33"/>
  <c r="H44" i="33"/>
  <c r="J44" i="33"/>
  <c r="AC44" i="33"/>
  <c r="F44" i="33"/>
  <c r="S44" i="33" s="1"/>
  <c r="F46" i="33"/>
  <c r="AA46" i="33" s="1"/>
  <c r="H46" i="33"/>
  <c r="H13" i="34"/>
  <c r="U13" i="34" s="1"/>
  <c r="J13" i="34"/>
  <c r="W13" i="34" s="1"/>
  <c r="F13" i="34"/>
  <c r="AA13" i="34" s="1"/>
  <c r="F29" i="34"/>
  <c r="S29" i="34" s="1"/>
  <c r="J31" i="34"/>
  <c r="AC31" i="34"/>
  <c r="H31" i="34"/>
  <c r="F31" i="34"/>
  <c r="S31" i="34" s="1"/>
  <c r="H45" i="34"/>
  <c r="U45" i="34" s="1"/>
  <c r="J45" i="34"/>
  <c r="W45" i="34" s="1"/>
  <c r="H47" i="34"/>
  <c r="U47" i="34" s="1"/>
  <c r="F47" i="34"/>
  <c r="S47" i="34" s="1"/>
  <c r="J47" i="34"/>
  <c r="AC47" i="34"/>
  <c r="F13" i="35"/>
  <c r="H13" i="35"/>
  <c r="U13" i="35" s="1"/>
  <c r="J25" i="35"/>
  <c r="W25" i="35" s="1"/>
  <c r="F25" i="35"/>
  <c r="S25" i="35" s="1"/>
  <c r="H25" i="35"/>
  <c r="AB25" i="35" s="1"/>
  <c r="H35" i="35"/>
  <c r="F25" i="36"/>
  <c r="S25" i="36" s="1"/>
  <c r="H25" i="36"/>
  <c r="AB25" i="36" s="1"/>
  <c r="H13" i="37"/>
  <c r="AB13" i="37" s="1"/>
  <c r="F13" i="37"/>
  <c r="S13" i="37" s="1"/>
  <c r="J13" i="37"/>
  <c r="W13" i="37" s="1"/>
  <c r="J28" i="37"/>
  <c r="AC28" i="37" s="1"/>
  <c r="H28" i="37"/>
  <c r="H38" i="37"/>
  <c r="AB38" i="37"/>
  <c r="J38" i="37"/>
  <c r="AC38" i="37" s="1"/>
  <c r="F38" i="37"/>
  <c r="S38" i="37" s="1"/>
  <c r="F43" i="39"/>
  <c r="AA43" i="39" s="1"/>
  <c r="H43" i="39"/>
  <c r="J14" i="39"/>
  <c r="AC14" i="39" s="1"/>
  <c r="F14" i="39"/>
  <c r="H14" i="39"/>
  <c r="AB14" i="39"/>
  <c r="H12" i="40"/>
  <c r="AB12" i="40" s="1"/>
  <c r="H30" i="40"/>
  <c r="AB30" i="40" s="1"/>
  <c r="F33" i="40"/>
  <c r="AA33" i="40" s="1"/>
  <c r="J35" i="40"/>
  <c r="AC35" i="40" s="1"/>
  <c r="J37" i="40"/>
  <c r="AC37" i="40" s="1"/>
  <c r="H13" i="40"/>
  <c r="U13" i="40" s="1"/>
  <c r="J13" i="40"/>
  <c r="W13" i="40" s="1"/>
  <c r="F13" i="40"/>
  <c r="AA13" i="40" s="1"/>
  <c r="F14" i="37"/>
  <c r="S14" i="37" s="1"/>
  <c r="F27" i="37"/>
  <c r="AA27" i="37"/>
  <c r="F13" i="39"/>
  <c r="J13" i="39"/>
  <c r="W13" i="39" s="1"/>
  <c r="H13" i="39"/>
  <c r="H14" i="40"/>
  <c r="AB14" i="40" s="1"/>
  <c r="J14" i="40"/>
  <c r="W14" i="40" s="1"/>
  <c r="F14" i="40"/>
  <c r="AA14" i="40" s="1"/>
  <c r="J14" i="37"/>
  <c r="J27" i="37"/>
  <c r="AC27" i="37"/>
  <c r="AA14" i="33"/>
  <c r="J36" i="37"/>
  <c r="AC36" i="37" s="1"/>
  <c r="J10" i="36"/>
  <c r="AC10" i="36" s="1"/>
  <c r="AB30" i="21"/>
  <c r="AA14" i="37"/>
  <c r="W31" i="34"/>
  <c r="AB46" i="34"/>
  <c r="AA14" i="34"/>
  <c r="AC28" i="21"/>
  <c r="S44" i="34"/>
  <c r="F17" i="21"/>
  <c r="AA17" i="21" s="1"/>
  <c r="H17" i="21"/>
  <c r="AB17" i="21" s="1"/>
  <c r="F15" i="21"/>
  <c r="S15" i="21" s="1"/>
  <c r="J41" i="39"/>
  <c r="W41" i="39" s="1"/>
  <c r="W44" i="39"/>
  <c r="U36" i="39"/>
  <c r="S35" i="39"/>
  <c r="G540" i="3"/>
  <c r="G536" i="3"/>
  <c r="G535" i="3"/>
  <c r="G532" i="3"/>
  <c r="G531" i="3"/>
  <c r="G528" i="3"/>
  <c r="G527" i="3"/>
  <c r="G518" i="3"/>
  <c r="G514" i="3"/>
  <c r="G510" i="3"/>
  <c r="G504" i="3"/>
  <c r="G500" i="3"/>
  <c r="G496" i="3"/>
  <c r="G580" i="3"/>
  <c r="G576" i="3"/>
  <c r="G572" i="3"/>
  <c r="G564" i="3"/>
  <c r="G560" i="3"/>
  <c r="G554" i="3"/>
  <c r="G550" i="3"/>
  <c r="BL584" i="3"/>
  <c r="BL580" i="3"/>
  <c r="BL576" i="3"/>
  <c r="BL568" i="3"/>
  <c r="BL564" i="3"/>
  <c r="BL560" i="3"/>
  <c r="BL554" i="3"/>
  <c r="BL546" i="3"/>
  <c r="BL542" i="3"/>
  <c r="BL538" i="3"/>
  <c r="BL530" i="3"/>
  <c r="BL526" i="3"/>
  <c r="BL522" i="3"/>
  <c r="BL512" i="3"/>
  <c r="BL506" i="3"/>
  <c r="BL502" i="3"/>
  <c r="BL494" i="3"/>
  <c r="BL582" i="3"/>
  <c r="BL578" i="3"/>
  <c r="BL570" i="3"/>
  <c r="BL566" i="3"/>
  <c r="BL562" i="3"/>
  <c r="BL552" i="3"/>
  <c r="BL544" i="3"/>
  <c r="AZ544" i="3" s="1"/>
  <c r="BL540" i="3"/>
  <c r="G533" i="3"/>
  <c r="BL532" i="3"/>
  <c r="AZ532" i="3" s="1"/>
  <c r="G529" i="3"/>
  <c r="G525" i="3"/>
  <c r="BL524" i="3"/>
  <c r="BL518" i="3"/>
  <c r="BL510" i="3"/>
  <c r="BL504" i="3"/>
  <c r="BL500" i="3"/>
  <c r="G493" i="3"/>
  <c r="BA584" i="3"/>
  <c r="AZ584" i="3" s="1"/>
  <c r="BA582" i="3"/>
  <c r="BA578" i="3"/>
  <c r="BA576" i="3"/>
  <c r="AZ576" i="3" s="1"/>
  <c r="BA574" i="3"/>
  <c r="AZ574" i="3" s="1"/>
  <c r="BA570" i="3"/>
  <c r="BA568" i="3"/>
  <c r="BA566" i="3"/>
  <c r="AZ566" i="3" s="1"/>
  <c r="BA562" i="3"/>
  <c r="BA560" i="3"/>
  <c r="BA558" i="3"/>
  <c r="AZ558" i="3" s="1"/>
  <c r="BA556" i="3"/>
  <c r="AZ556" i="3" s="1"/>
  <c r="BA554" i="3"/>
  <c r="AZ554" i="3" s="1"/>
  <c r="BA552" i="3"/>
  <c r="AZ552" i="3"/>
  <c r="BA548" i="3"/>
  <c r="BA544" i="3"/>
  <c r="BA542" i="3"/>
  <c r="AZ542" i="3" s="1"/>
  <c r="BA540" i="3"/>
  <c r="BA538" i="3"/>
  <c r="AZ538" i="3"/>
  <c r="AZ536" i="3"/>
  <c r="BA534" i="3"/>
  <c r="AZ534" i="3" s="1"/>
  <c r="BA530" i="3"/>
  <c r="BA528" i="3"/>
  <c r="AZ528" i="3" s="1"/>
  <c r="BA524" i="3"/>
  <c r="BA522" i="3"/>
  <c r="AZ522" i="3" s="1"/>
  <c r="BA520" i="3"/>
  <c r="AZ520" i="3" s="1"/>
  <c r="BA516" i="3"/>
  <c r="AZ516" i="3" s="1"/>
  <c r="BA514" i="3"/>
  <c r="BA512" i="3"/>
  <c r="AZ512" i="3" s="1"/>
  <c r="BA510" i="3"/>
  <c r="AZ510" i="3" s="1"/>
  <c r="BA508" i="3"/>
  <c r="BA504" i="3"/>
  <c r="AZ504" i="3"/>
  <c r="BA502" i="3"/>
  <c r="BA498" i="3"/>
  <c r="AZ498" i="3"/>
  <c r="BA496" i="3"/>
  <c r="BA587" i="3"/>
  <c r="BA583" i="3"/>
  <c r="BA579" i="3"/>
  <c r="BA577" i="3"/>
  <c r="BA575" i="3"/>
  <c r="BA571" i="3"/>
  <c r="BA569" i="3"/>
  <c r="BA567" i="3"/>
  <c r="BA563" i="3"/>
  <c r="BA561" i="3"/>
  <c r="BA559" i="3"/>
  <c r="AZ559" i="3" s="1"/>
  <c r="BA555" i="3"/>
  <c r="BA553" i="3"/>
  <c r="BA549" i="3"/>
  <c r="BA547" i="3"/>
  <c r="BA543" i="3"/>
  <c r="BA541" i="3"/>
  <c r="BA539" i="3"/>
  <c r="BA535" i="3"/>
  <c r="BA533" i="3"/>
  <c r="BA531" i="3"/>
  <c r="BA527" i="3"/>
  <c r="BA525" i="3"/>
  <c r="BA523" i="3"/>
  <c r="BA517" i="3"/>
  <c r="BA515" i="3"/>
  <c r="BA513" i="3"/>
  <c r="BA507" i="3"/>
  <c r="BA505" i="3"/>
  <c r="BA503" i="3"/>
  <c r="AZ503" i="3" s="1"/>
  <c r="BA499" i="3"/>
  <c r="BA497" i="3"/>
  <c r="BA495" i="3"/>
  <c r="AZ560" i="3"/>
  <c r="G583" i="3"/>
  <c r="G581" i="3"/>
  <c r="G577" i="3"/>
  <c r="G575" i="3"/>
  <c r="G573" i="3"/>
  <c r="G569" i="3"/>
  <c r="G567" i="3"/>
  <c r="G565" i="3"/>
  <c r="G563" i="3"/>
  <c r="G561" i="3"/>
  <c r="BL558" i="3"/>
  <c r="BA557" i="3"/>
  <c r="AC557" i="3"/>
  <c r="G557" i="3" s="1"/>
  <c r="BQ557" i="3"/>
  <c r="BL557" i="3" s="1"/>
  <c r="BQ583" i="3"/>
  <c r="BL583" i="3" s="1"/>
  <c r="BQ581" i="3"/>
  <c r="BQ579" i="3"/>
  <c r="BL579" i="3" s="1"/>
  <c r="BQ577" i="3"/>
  <c r="BL577" i="3" s="1"/>
  <c r="BQ575" i="3"/>
  <c r="BL575" i="3"/>
  <c r="BQ573" i="3"/>
  <c r="BL573" i="3" s="1"/>
  <c r="AZ573" i="3" s="1"/>
  <c r="BQ571" i="3"/>
  <c r="BQ569" i="3"/>
  <c r="BL569" i="3" s="1"/>
  <c r="BQ567" i="3"/>
  <c r="BL567" i="3" s="1"/>
  <c r="BQ565" i="3"/>
  <c r="BQ563" i="3"/>
  <c r="BL563" i="3" s="1"/>
  <c r="AZ563" i="3" s="1"/>
  <c r="BQ561" i="3"/>
  <c r="BL561" i="3"/>
  <c r="AZ561" i="3" s="1"/>
  <c r="BQ559" i="3"/>
  <c r="BL559" i="3" s="1"/>
  <c r="G555" i="3"/>
  <c r="G553" i="3"/>
  <c r="G549" i="3"/>
  <c r="G545" i="3"/>
  <c r="G543" i="3"/>
  <c r="G541" i="3"/>
  <c r="G537" i="3"/>
  <c r="BQ555" i="3"/>
  <c r="BL555" i="3" s="1"/>
  <c r="BQ553" i="3"/>
  <c r="BL553" i="3" s="1"/>
  <c r="AZ553" i="3"/>
  <c r="BQ551" i="3"/>
  <c r="BL551" i="3" s="1"/>
  <c r="BQ549" i="3"/>
  <c r="BQ547" i="3"/>
  <c r="BL547" i="3" s="1"/>
  <c r="AZ547" i="3" s="1"/>
  <c r="BQ545" i="3"/>
  <c r="BL545" i="3" s="1"/>
  <c r="BQ543" i="3"/>
  <c r="BQ541" i="3"/>
  <c r="BL541" i="3" s="1"/>
  <c r="AZ541" i="3" s="1"/>
  <c r="BQ539" i="3"/>
  <c r="BQ537" i="3"/>
  <c r="BL537" i="3" s="1"/>
  <c r="BQ535" i="3"/>
  <c r="BL535" i="3" s="1"/>
  <c r="BQ533" i="3"/>
  <c r="BL533" i="3"/>
  <c r="AZ533" i="3" s="1"/>
  <c r="BQ531" i="3"/>
  <c r="BL531" i="3" s="1"/>
  <c r="AZ531" i="3" s="1"/>
  <c r="BQ529" i="3"/>
  <c r="BQ527" i="3"/>
  <c r="BL527" i="3" s="1"/>
  <c r="AZ527" i="3"/>
  <c r="BQ525" i="3"/>
  <c r="BQ523" i="3"/>
  <c r="BL523" i="3" s="1"/>
  <c r="BA521" i="3"/>
  <c r="AC521" i="3"/>
  <c r="G521" i="3" s="1"/>
  <c r="BQ521" i="3"/>
  <c r="BL521" i="3" s="1"/>
  <c r="AZ521" i="3" s="1"/>
  <c r="BL520" i="3"/>
  <c r="G519" i="3"/>
  <c r="G517" i="3"/>
  <c r="G515" i="3"/>
  <c r="G513" i="3"/>
  <c r="G511" i="3"/>
  <c r="BQ519" i="3"/>
  <c r="BL519" i="3" s="1"/>
  <c r="AZ519" i="3" s="1"/>
  <c r="BQ517" i="3"/>
  <c r="BQ515" i="3"/>
  <c r="BL515" i="3" s="1"/>
  <c r="AZ515" i="3" s="1"/>
  <c r="BQ513" i="3"/>
  <c r="BL513" i="3" s="1"/>
  <c r="BQ511" i="3"/>
  <c r="BA509" i="3"/>
  <c r="AC509" i="3"/>
  <c r="BQ509" i="3"/>
  <c r="BL508" i="3"/>
  <c r="AZ508" i="3"/>
  <c r="G507" i="3"/>
  <c r="G505" i="3"/>
  <c r="G503" i="3"/>
  <c r="G501" i="3"/>
  <c r="G499" i="3"/>
  <c r="G497" i="3"/>
  <c r="G495" i="3"/>
  <c r="BQ507" i="3"/>
  <c r="BQ505" i="3"/>
  <c r="BQ503" i="3"/>
  <c r="BL503" i="3" s="1"/>
  <c r="BQ501" i="3"/>
  <c r="BQ499" i="3"/>
  <c r="BL499" i="3" s="1"/>
  <c r="AZ499" i="3" s="1"/>
  <c r="BQ497" i="3"/>
  <c r="BQ495" i="3"/>
  <c r="BL495" i="3"/>
  <c r="BQ493" i="3"/>
  <c r="S505" i="31"/>
  <c r="S503" i="31"/>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AA37" i="37"/>
  <c r="F31" i="40"/>
  <c r="AA31" i="40" s="1"/>
  <c r="H31" i="40"/>
  <c r="U31" i="40"/>
  <c r="F32" i="40"/>
  <c r="S32" i="40" s="1"/>
  <c r="H32" i="40"/>
  <c r="AB32" i="40"/>
  <c r="J36" i="40"/>
  <c r="W36" i="40" s="1"/>
  <c r="H19" i="37"/>
  <c r="AB19" i="37" s="1"/>
  <c r="H42" i="33"/>
  <c r="AB42" i="33" s="1"/>
  <c r="J43" i="33"/>
  <c r="AC43" i="33"/>
  <c r="U14" i="40"/>
  <c r="W23" i="35"/>
  <c r="U39" i="37"/>
  <c r="U26" i="37"/>
  <c r="W47" i="34"/>
  <c r="AC36" i="34"/>
  <c r="AA13" i="33"/>
  <c r="AC45" i="33"/>
  <c r="W44" i="33"/>
  <c r="U11" i="33"/>
  <c r="U19" i="21"/>
  <c r="AB38" i="21"/>
  <c r="F43" i="33"/>
  <c r="AA43" i="33" s="1"/>
  <c r="W15" i="34"/>
  <c r="AC15" i="34"/>
  <c r="W16" i="35"/>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AA25" i="21"/>
  <c r="H19" i="40"/>
  <c r="U19" i="40" s="1"/>
  <c r="F19" i="40"/>
  <c r="S19" i="40" s="1"/>
  <c r="S14" i="40"/>
  <c r="AC13" i="40"/>
  <c r="W23" i="39"/>
  <c r="AC43" i="39"/>
  <c r="W43" i="39"/>
  <c r="U45" i="39"/>
  <c r="AB45" i="39"/>
  <c r="H37" i="39"/>
  <c r="AB37" i="39" s="1"/>
  <c r="AC37" i="39"/>
  <c r="W37" i="39"/>
  <c r="H25" i="39"/>
  <c r="AB25" i="39" s="1"/>
  <c r="J25" i="39"/>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549" i="3" s="1"/>
  <c r="AZ494" i="3"/>
  <c r="AZ514"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AZ115" i="3"/>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55" i="3"/>
  <c r="AZ67" i="3"/>
  <c r="AZ152" i="3"/>
  <c r="AZ168"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54" i="3"/>
  <c r="AZ162" i="3"/>
  <c r="AZ194" i="3"/>
  <c r="AZ198" i="3"/>
  <c r="AZ500" i="3"/>
  <c r="BA16" i="3"/>
  <c r="AZ16" i="3" s="1"/>
  <c r="BL303" i="3"/>
  <c r="AZ303" i="3" s="1"/>
  <c r="G304" i="3"/>
  <c r="BA306" i="3"/>
  <c r="BL307" i="3"/>
  <c r="AZ307" i="3" s="1"/>
  <c r="G308" i="3"/>
  <c r="BA310" i="3"/>
  <c r="AZ310" i="3"/>
  <c r="BL311" i="3"/>
  <c r="AZ311" i="3" s="1"/>
  <c r="G312" i="3"/>
  <c r="BA314" i="3"/>
  <c r="AZ314" i="3"/>
  <c r="BL315" i="3"/>
  <c r="G316" i="3"/>
  <c r="BA318" i="3"/>
  <c r="AZ318" i="3" s="1"/>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AZ218" i="3"/>
  <c r="G342" i="3"/>
  <c r="BL345" i="3"/>
  <c r="AZ345" i="3" s="1"/>
  <c r="G346" i="3"/>
  <c r="BL349" i="3"/>
  <c r="BL352" i="3"/>
  <c r="G353" i="3"/>
  <c r="BA357" i="3"/>
  <c r="AZ357" i="3" s="1"/>
  <c r="BL358" i="3"/>
  <c r="G359" i="3"/>
  <c r="BA361" i="3"/>
  <c r="AZ361" i="3"/>
  <c r="BL362" i="3"/>
  <c r="G363" i="3"/>
  <c r="BA365" i="3"/>
  <c r="BL366" i="3"/>
  <c r="G367" i="3"/>
  <c r="BA369" i="3"/>
  <c r="AZ369" i="3"/>
  <c r="BL370" i="3"/>
  <c r="AZ370" i="3" s="1"/>
  <c r="G371" i="3"/>
  <c r="BA373" i="3"/>
  <c r="AZ373" i="3"/>
  <c r="BL374" i="3"/>
  <c r="G375" i="3"/>
  <c r="BA377" i="3"/>
  <c r="AZ377" i="3"/>
  <c r="AZ229" i="3"/>
  <c r="AZ233" i="3"/>
  <c r="AZ249" i="3"/>
  <c r="BA379" i="3"/>
  <c r="AZ379" i="3" s="1"/>
  <c r="BL380" i="3"/>
  <c r="G381" i="3"/>
  <c r="BA383" i="3"/>
  <c r="AZ383" i="3" s="1"/>
  <c r="BL384" i="3"/>
  <c r="G385" i="3"/>
  <c r="BA387" i="3"/>
  <c r="BL388" i="3"/>
  <c r="G389" i="3"/>
  <c r="BA391" i="3"/>
  <c r="AZ391" i="3" s="1"/>
  <c r="BL392" i="3"/>
  <c r="G393" i="3"/>
  <c r="AZ275" i="3"/>
  <c r="BO5" i="3"/>
  <c r="BM5" i="3"/>
  <c r="F29" i="6" s="1"/>
  <c r="BJ5" i="3"/>
  <c r="BH5" i="3"/>
  <c r="BF5" i="3"/>
  <c r="BD5" i="3"/>
  <c r="AC5" i="3"/>
  <c r="AZ506" i="3"/>
  <c r="AZ496" i="3"/>
  <c r="G548" i="3"/>
  <c r="G538" i="3"/>
  <c r="G520" i="3"/>
  <c r="G502" i="3"/>
  <c r="BS5" i="3"/>
  <c r="BP5" i="3"/>
  <c r="BN5" i="3"/>
  <c r="BK5" i="3"/>
  <c r="BI5" i="3"/>
  <c r="BG5" i="3"/>
  <c r="BE5" i="3"/>
  <c r="BC5" i="3"/>
  <c r="G17" i="3"/>
  <c r="BA17" i="3"/>
  <c r="BT5" i="3"/>
  <c r="BA15" i="3"/>
  <c r="BB5" i="3"/>
  <c r="BR5" i="3"/>
  <c r="AZ380" i="3"/>
  <c r="AZ392" i="3"/>
  <c r="G509" i="3"/>
  <c r="BL493" i="3"/>
  <c r="AZ493" i="3" s="1"/>
  <c r="U36" i="40"/>
  <c r="F83" i="43"/>
  <c r="H85" i="43" s="1"/>
  <c r="F50" i="43"/>
  <c r="H54" i="43" s="1"/>
  <c r="F72" i="43"/>
  <c r="H75" i="43" s="1"/>
  <c r="U17" i="39"/>
  <c r="S14" i="35"/>
  <c r="U43" i="21"/>
  <c r="U35" i="21"/>
  <c r="AC35" i="21"/>
  <c r="AC11" i="39"/>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130"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W12" i="33"/>
  <c r="AC12" i="33"/>
  <c r="AA32" i="36"/>
  <c r="S32" i="36"/>
  <c r="AZ473" i="3"/>
  <c r="BL14" i="3"/>
  <c r="U30" i="33"/>
  <c r="AC13" i="34"/>
  <c r="AA47" i="34"/>
  <c r="W28" i="37"/>
  <c r="S19" i="39"/>
  <c r="F12" i="33"/>
  <c r="H12" i="39"/>
  <c r="U12" i="39" s="1"/>
  <c r="AB12" i="39"/>
  <c r="F39" i="40"/>
  <c r="BA14" i="3"/>
  <c r="AZ367" i="3"/>
  <c r="AZ286" i="3"/>
  <c r="AZ149" i="3"/>
  <c r="AZ173" i="3"/>
  <c r="AZ181"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AB20" i="35"/>
  <c r="AC25" i="35"/>
  <c r="U25" i="35"/>
  <c r="S24" i="35"/>
  <c r="U24"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W46" i="34"/>
  <c r="AC46" i="34"/>
  <c r="S32" i="34"/>
  <c r="AA32"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U39" i="33"/>
  <c r="U38" i="33"/>
  <c r="S33" i="33"/>
  <c r="AB34" i="33"/>
  <c r="U44" i="33"/>
  <c r="AB44" i="33"/>
  <c r="S30" i="33"/>
  <c r="AA30" i="33"/>
  <c r="AC14" i="33"/>
  <c r="W14" i="33"/>
  <c r="AC30" i="33"/>
  <c r="W30" i="33"/>
  <c r="S31" i="33"/>
  <c r="AA31" i="33"/>
  <c r="U15" i="33"/>
  <c r="S11" i="33"/>
  <c r="U37" i="33"/>
  <c r="S28" i="33"/>
  <c r="W9" i="33"/>
  <c r="W8" i="33"/>
  <c r="AB42" i="21"/>
  <c r="U28" i="21"/>
  <c r="S45" i="21"/>
  <c r="I101" i="21"/>
  <c r="J101" i="21" s="1"/>
  <c r="K101" i="21" s="1"/>
  <c r="L101" i="21" s="1"/>
  <c r="M101" i="21" s="1"/>
  <c r="F33" i="21"/>
  <c r="AA33" i="21" s="1"/>
  <c r="J33" i="21"/>
  <c r="AC33" i="21" s="1"/>
  <c r="H33" i="21"/>
  <c r="AB33" i="21" s="1"/>
  <c r="F37" i="21"/>
  <c r="AA37" i="21" s="1"/>
  <c r="AA26" i="21"/>
  <c r="AB14" i="21"/>
  <c r="U40" i="21"/>
  <c r="AB31" i="21"/>
  <c r="U31" i="21"/>
  <c r="AC15" i="21"/>
  <c r="S35" i="21"/>
  <c r="J37" i="21"/>
  <c r="W37" i="21" s="1"/>
  <c r="H15" i="21"/>
  <c r="U15" i="21" s="1"/>
  <c r="J17" i="21"/>
  <c r="AC17" i="21" s="1"/>
  <c r="AC19" i="21"/>
  <c r="W39" i="21"/>
  <c r="AC14" i="21"/>
  <c r="W30"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W19" i="37" s="1"/>
  <c r="G75" i="37"/>
  <c r="AA19" i="37"/>
  <c r="AA23" i="37"/>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G87" i="33"/>
  <c r="H87" i="33"/>
  <c r="I87" i="33" s="1"/>
  <c r="J87" i="33" s="1"/>
  <c r="K87" i="33" s="1"/>
  <c r="L87" i="33" s="1"/>
  <c r="M87" i="33" s="1"/>
  <c r="J25" i="33"/>
  <c r="AC25" i="33" s="1"/>
  <c r="AB23" i="33"/>
  <c r="U23" i="33"/>
  <c r="F23" i="33"/>
  <c r="G85" i="33"/>
  <c r="AA19" i="33"/>
  <c r="H19" i="33"/>
  <c r="AB19" i="33" s="1"/>
  <c r="G81" i="33"/>
  <c r="H17" i="33"/>
  <c r="U17" i="33" s="1"/>
  <c r="F17" i="33"/>
  <c r="S17" i="33" s="1"/>
  <c r="W17" i="33"/>
  <c r="AC17" i="33"/>
  <c r="S37" i="21"/>
  <c r="AA23" i="21"/>
  <c r="AB15" i="21"/>
  <c r="J23" i="21"/>
  <c r="F85" i="21"/>
  <c r="G85" i="21" s="1"/>
  <c r="H23" i="21"/>
  <c r="S13" i="21"/>
  <c r="D6" i="52"/>
  <c r="AP7" i="1"/>
  <c r="AB45" i="21"/>
  <c r="AB9" i="21"/>
  <c r="AA32" i="21"/>
  <c r="S32" i="21"/>
  <c r="W9" i="21"/>
  <c r="AC9" i="21"/>
  <c r="AB32" i="21"/>
  <c r="U32" i="21"/>
  <c r="U32" i="39"/>
  <c r="AC32" i="39"/>
  <c r="J63" i="37"/>
  <c r="K63" i="37" s="1"/>
  <c r="L63" i="37" s="1"/>
  <c r="M63" i="37" s="1"/>
  <c r="J11" i="37"/>
  <c r="AC11" i="37" s="1"/>
  <c r="H70" i="34"/>
  <c r="I70" i="34" s="1"/>
  <c r="J70" i="34" s="1"/>
  <c r="K70" i="34" s="1"/>
  <c r="L70" i="34" s="1"/>
  <c r="M70" i="34" s="1"/>
  <c r="J11" i="34"/>
  <c r="W11" i="34" s="1"/>
  <c r="W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 i="68"/>
  <c r="F3" i="73"/>
  <c r="F13" i="15"/>
  <c r="M8" i="15"/>
  <c r="M6" i="67"/>
  <c r="D34" i="9"/>
  <c r="M9" i="67"/>
  <c r="F42" i="15"/>
  <c r="F20" i="31"/>
  <c r="F16" i="67"/>
  <c r="F37" i="15"/>
  <c r="M6" i="15"/>
  <c r="E2" i="69"/>
  <c r="M22" i="15"/>
  <c r="B13" i="76"/>
  <c r="J15" i="15"/>
  <c r="F8" i="15"/>
  <c r="M24" i="67"/>
  <c r="F4" i="73"/>
  <c r="F42" i="67"/>
  <c r="L47" i="15"/>
  <c r="L47" i="67"/>
  <c r="M28" i="15"/>
  <c r="E10" i="76"/>
  <c r="M8" i="67"/>
  <c r="M9" i="15"/>
  <c r="F7" i="67"/>
  <c r="M22" i="67"/>
  <c r="M26" i="67"/>
  <c r="B11" i="76"/>
  <c r="F6" i="67"/>
  <c r="F43" i="67"/>
  <c r="E9" i="76"/>
  <c r="F26" i="15"/>
  <c r="F7" i="73"/>
  <c r="E8" i="76"/>
  <c r="E13" i="76"/>
  <c r="F13" i="67"/>
  <c r="F36" i="15"/>
  <c r="F8" i="67"/>
  <c r="D6" i="73"/>
  <c r="F16" i="15"/>
  <c r="M28" i="67"/>
  <c r="B10" i="76"/>
  <c r="F37" i="67"/>
  <c r="F6" i="15"/>
  <c r="F9" i="67"/>
  <c r="F5" i="73"/>
  <c r="F38" i="67"/>
  <c r="F6" i="73"/>
  <c r="E11" i="76"/>
  <c r="F38" i="15"/>
  <c r="M29" i="67"/>
  <c r="F40" i="67"/>
  <c r="L48" i="67"/>
  <c r="B8" i="76"/>
  <c r="M29" i="15"/>
  <c r="C19" i="9"/>
  <c r="F26" i="67"/>
  <c r="E7" i="76"/>
  <c r="B12" i="76"/>
  <c r="AO13" i="1"/>
  <c r="L48" i="15"/>
  <c r="F9" i="15"/>
  <c r="F36" i="67"/>
  <c r="B7" i="76"/>
  <c r="C20" i="9"/>
  <c r="E12" i="76"/>
  <c r="M23" i="15"/>
  <c r="F40" i="15"/>
  <c r="D19" i="9"/>
  <c r="C76" i="67"/>
  <c r="M24" i="15"/>
  <c r="M23" i="67"/>
  <c r="B9" i="76"/>
  <c r="D35" i="9"/>
  <c r="F43" i="15"/>
  <c r="J15" i="67"/>
  <c r="C76" i="15"/>
  <c r="F7" i="15"/>
  <c r="M26" i="15"/>
  <c r="D20" i="9"/>
  <c r="H4" i="80" l="1"/>
  <c r="G14" i="74" s="1"/>
  <c r="L4" i="80"/>
  <c r="S25" i="31"/>
  <c r="G5" i="80"/>
  <c r="S26" i="31"/>
  <c r="G6" i="80"/>
  <c r="S27" i="31"/>
  <c r="G7" i="80"/>
  <c r="AZ313" i="3"/>
  <c r="AZ306" i="3"/>
  <c r="AZ513" i="3"/>
  <c r="AZ579" i="3"/>
  <c r="AB46" i="33"/>
  <c r="U46" i="33"/>
  <c r="AA42" i="39"/>
  <c r="S42" i="39"/>
  <c r="F44" i="21"/>
  <c r="J44" i="21"/>
  <c r="AC33" i="33"/>
  <c r="W33" i="33"/>
  <c r="AC8" i="34"/>
  <c r="W8" i="34"/>
  <c r="J13" i="33"/>
  <c r="H13" i="33"/>
  <c r="U13" i="33" s="1"/>
  <c r="W31" i="33"/>
  <c r="AC31" i="33"/>
  <c r="J12" i="34"/>
  <c r="H12" i="34"/>
  <c r="F12" i="34"/>
  <c r="S12" i="34" s="1"/>
  <c r="J30" i="34"/>
  <c r="H30" i="34"/>
  <c r="H11" i="35"/>
  <c r="AB11" i="35" s="1"/>
  <c r="J11" i="35"/>
  <c r="H44" i="39"/>
  <c r="F44" i="39"/>
  <c r="AC8" i="40"/>
  <c r="W8" i="40"/>
  <c r="U19" i="33"/>
  <c r="AC27" i="33"/>
  <c r="AC23" i="37"/>
  <c r="AZ14" i="3"/>
  <c r="AZ334" i="3"/>
  <c r="AZ372" i="3"/>
  <c r="AZ337" i="3"/>
  <c r="AZ191" i="3"/>
  <c r="AZ139" i="3"/>
  <c r="AZ394" i="3"/>
  <c r="AZ569" i="3"/>
  <c r="AZ557" i="3"/>
  <c r="AZ571" i="3"/>
  <c r="AZ568" i="3"/>
  <c r="AA44" i="33"/>
  <c r="AA11" i="36"/>
  <c r="S11" i="36"/>
  <c r="AA45" i="33"/>
  <c r="S45" i="33"/>
  <c r="H28" i="33"/>
  <c r="J28" i="33"/>
  <c r="AZ564" i="3"/>
  <c r="W17" i="21"/>
  <c r="AA27" i="40"/>
  <c r="AB27" i="40"/>
  <c r="AZ387" i="3"/>
  <c r="AZ366" i="3"/>
  <c r="AZ362" i="3"/>
  <c r="AZ390" i="3"/>
  <c r="AZ351" i="3"/>
  <c r="AZ336" i="3"/>
  <c r="AZ305" i="3"/>
  <c r="AZ124" i="3"/>
  <c r="AZ376" i="3"/>
  <c r="AZ309" i="3"/>
  <c r="AZ523" i="3"/>
  <c r="AZ535" i="3"/>
  <c r="AZ577" i="3"/>
  <c r="AZ583" i="3"/>
  <c r="AZ575" i="3"/>
  <c r="AZ524" i="3"/>
  <c r="AZ570" i="3"/>
  <c r="AZ582" i="3"/>
  <c r="AZ540" i="3"/>
  <c r="AC40" i="37"/>
  <c r="W40" i="37"/>
  <c r="AA28" i="34"/>
  <c r="S28" i="34"/>
  <c r="H13" i="21"/>
  <c r="AC40" i="33"/>
  <c r="W40" i="33"/>
  <c r="F9" i="34"/>
  <c r="AA9" i="34" s="1"/>
  <c r="J9" i="34"/>
  <c r="H9" i="34"/>
  <c r="BL581" i="3"/>
  <c r="AZ580" i="3"/>
  <c r="AZ572" i="3"/>
  <c r="BL571" i="3"/>
  <c r="AZ546" i="3"/>
  <c r="AZ537" i="3"/>
  <c r="BL529" i="3"/>
  <c r="AZ529" i="3" s="1"/>
  <c r="AZ526" i="3"/>
  <c r="BL525" i="3"/>
  <c r="AZ525" i="3" s="1"/>
  <c r="AZ518" i="3"/>
  <c r="BL517" i="3"/>
  <c r="BL509" i="3"/>
  <c r="AZ509" i="3" s="1"/>
  <c r="BL505" i="3"/>
  <c r="AZ505" i="3" s="1"/>
  <c r="BL501" i="3"/>
  <c r="AZ501" i="3" s="1"/>
  <c r="BL497" i="3"/>
  <c r="AB36" i="33"/>
  <c r="AZ15" i="3"/>
  <c r="AZ349" i="3"/>
  <c r="AZ183" i="3"/>
  <c r="AZ123" i="3"/>
  <c r="AZ497" i="3"/>
  <c r="AZ502" i="3"/>
  <c r="U26" i="33"/>
  <c r="AB26" i="33"/>
  <c r="BA586" i="3"/>
  <c r="BL585" i="3"/>
  <c r="BA585" i="3"/>
  <c r="AZ585" i="3" s="1"/>
  <c r="F46" i="21"/>
  <c r="H46" i="21"/>
  <c r="AA42" i="21"/>
  <c r="S42" i="21"/>
  <c r="H9" i="36"/>
  <c r="AB9" i="36" s="1"/>
  <c r="J9" i="36"/>
  <c r="J24" i="36"/>
  <c r="H24" i="36"/>
  <c r="AA34" i="40"/>
  <c r="J12" i="40"/>
  <c r="AZ413" i="3"/>
  <c r="AZ228" i="3"/>
  <c r="AZ469" i="3"/>
  <c r="AZ217" i="3"/>
  <c r="AZ204" i="3"/>
  <c r="AZ155" i="3"/>
  <c r="AZ140" i="3"/>
  <c r="AZ360" i="3"/>
  <c r="BL511" i="3"/>
  <c r="AZ511" i="3" s="1"/>
  <c r="BL539" i="3"/>
  <c r="AZ539" i="3" s="1"/>
  <c r="BL543" i="3"/>
  <c r="AZ543" i="3" s="1"/>
  <c r="BL565" i="3"/>
  <c r="AZ565" i="3" s="1"/>
  <c r="AB45" i="33"/>
  <c r="F35" i="35"/>
  <c r="J29" i="34"/>
  <c r="AA29" i="35"/>
  <c r="AB17" i="34"/>
  <c r="AB34" i="37"/>
  <c r="BA551" i="3"/>
  <c r="AZ551" i="3" s="1"/>
  <c r="BA550" i="3"/>
  <c r="BL548" i="3"/>
  <c r="AZ548" i="3" s="1"/>
  <c r="AZ487" i="3"/>
  <c r="H33" i="40"/>
  <c r="AC38" i="34"/>
  <c r="U9" i="40"/>
  <c r="S27" i="35"/>
  <c r="W31" i="37"/>
  <c r="U9" i="39"/>
  <c r="G585" i="3"/>
  <c r="BL587" i="3"/>
  <c r="AZ587" i="3" s="1"/>
  <c r="BL586" i="3"/>
  <c r="F38" i="40"/>
  <c r="H38" i="40"/>
  <c r="G556" i="3"/>
  <c r="AZ451" i="3"/>
  <c r="AZ404" i="3"/>
  <c r="AZ405" i="3"/>
  <c r="AZ419" i="3"/>
  <c r="AZ422" i="3"/>
  <c r="AZ444" i="3"/>
  <c r="AZ466" i="3"/>
  <c r="AZ476" i="3"/>
  <c r="BL285" i="3"/>
  <c r="BL287" i="3"/>
  <c r="G399" i="3"/>
  <c r="BL400" i="3"/>
  <c r="AZ400" i="3" s="1"/>
  <c r="BL408" i="3"/>
  <c r="BL411" i="3"/>
  <c r="BL413" i="3"/>
  <c r="G416" i="3"/>
  <c r="BL417" i="3"/>
  <c r="BL418" i="3"/>
  <c r="BL420" i="3"/>
  <c r="G423" i="3"/>
  <c r="BL424" i="3"/>
  <c r="AZ424" i="3" s="1"/>
  <c r="G427" i="3"/>
  <c r="BL428" i="3"/>
  <c r="BL429" i="3"/>
  <c r="BL432" i="3"/>
  <c r="BL435" i="3"/>
  <c r="BL436" i="3"/>
  <c r="BA439" i="3"/>
  <c r="BA440" i="3"/>
  <c r="AZ440" i="3" s="1"/>
  <c r="BA442" i="3"/>
  <c r="AZ442" i="3" s="1"/>
  <c r="BA445" i="3"/>
  <c r="BA447" i="3"/>
  <c r="AZ447" i="3" s="1"/>
  <c r="BA449" i="3"/>
  <c r="BL453" i="3"/>
  <c r="BL454" i="3"/>
  <c r="G458" i="3"/>
  <c r="BL459" i="3"/>
  <c r="G462" i="3"/>
  <c r="BA465" i="3"/>
  <c r="AZ465" i="3" s="1"/>
  <c r="BA467" i="3"/>
  <c r="BA468" i="3"/>
  <c r="BL471" i="3"/>
  <c r="BL475" i="3"/>
  <c r="BA477" i="3"/>
  <c r="BA478" i="3"/>
  <c r="BA481" i="3"/>
  <c r="BA488" i="3"/>
  <c r="AZ488" i="3" s="1"/>
  <c r="BA491" i="3"/>
  <c r="BL324" i="3"/>
  <c r="AZ324" i="3" s="1"/>
  <c r="BL328" i="3"/>
  <c r="AZ328" i="3" s="1"/>
  <c r="BA335" i="3"/>
  <c r="AZ335" i="3" s="1"/>
  <c r="BA339" i="3"/>
  <c r="AZ339" i="3" s="1"/>
  <c r="BA348" i="3"/>
  <c r="BA350" i="3"/>
  <c r="AZ350" i="3" s="1"/>
  <c r="BA354" i="3"/>
  <c r="BA366" i="3"/>
  <c r="BL375" i="3"/>
  <c r="AZ375" i="3" s="1"/>
  <c r="BL385" i="3"/>
  <c r="AZ385" i="3" s="1"/>
  <c r="BA397" i="3"/>
  <c r="BL397" i="3"/>
  <c r="BA210" i="3"/>
  <c r="BL210" i="3"/>
  <c r="BL212" i="3"/>
  <c r="BL214" i="3"/>
  <c r="AZ214" i="3" s="1"/>
  <c r="BL225" i="3"/>
  <c r="BL226" i="3"/>
  <c r="BA239" i="3"/>
  <c r="BL239" i="3"/>
  <c r="BA241" i="3"/>
  <c r="BL241" i="3"/>
  <c r="BA244" i="3"/>
  <c r="BL244" i="3"/>
  <c r="BA246" i="3"/>
  <c r="BA252" i="3"/>
  <c r="AZ252" i="3" s="1"/>
  <c r="BA254" i="3"/>
  <c r="AZ254" i="3" s="1"/>
  <c r="BA256" i="3"/>
  <c r="BL256" i="3"/>
  <c r="BA258" i="3"/>
  <c r="AZ258" i="3" s="1"/>
  <c r="BL264" i="3"/>
  <c r="BL266" i="3"/>
  <c r="BA268" i="3"/>
  <c r="BL273" i="3"/>
  <c r="G274" i="3"/>
  <c r="BA277" i="3"/>
  <c r="BL277" i="3"/>
  <c r="BA282" i="3"/>
  <c r="AZ282" i="3" s="1"/>
  <c r="BL282" i="3"/>
  <c r="BA284" i="3"/>
  <c r="BL290" i="3"/>
  <c r="BL291" i="3"/>
  <c r="AZ291" i="3" s="1"/>
  <c r="BL293" i="3"/>
  <c r="BL294" i="3"/>
  <c r="BA297" i="3"/>
  <c r="BL297" i="3"/>
  <c r="BL300" i="3"/>
  <c r="BA302" i="3"/>
  <c r="G115" i="3"/>
  <c r="BA117" i="3"/>
  <c r="BA129" i="3"/>
  <c r="BL133" i="3"/>
  <c r="AZ133" i="3" s="1"/>
  <c r="BL134" i="3"/>
  <c r="G558" i="3"/>
  <c r="BL398" i="3"/>
  <c r="G402" i="3"/>
  <c r="BL403" i="3"/>
  <c r="AZ403" i="3" s="1"/>
  <c r="G406" i="3"/>
  <c r="BA408" i="3"/>
  <c r="BA409" i="3"/>
  <c r="AZ409" i="3" s="1"/>
  <c r="BA411" i="3"/>
  <c r="AZ411" i="3" s="1"/>
  <c r="BL414" i="3"/>
  <c r="BL415" i="3"/>
  <c r="BA417" i="3"/>
  <c r="AZ417" i="3" s="1"/>
  <c r="BL421" i="3"/>
  <c r="BL422" i="3"/>
  <c r="BL425" i="3"/>
  <c r="BL426" i="3"/>
  <c r="AZ426" i="3" s="1"/>
  <c r="BA428" i="3"/>
  <c r="AZ428" i="3" s="1"/>
  <c r="BA429" i="3"/>
  <c r="AZ429" i="3" s="1"/>
  <c r="BA430" i="3"/>
  <c r="AZ430" i="3" s="1"/>
  <c r="BA432" i="3"/>
  <c r="AZ432" i="3" s="1"/>
  <c r="BA434" i="3"/>
  <c r="AZ434" i="3" s="1"/>
  <c r="BA436" i="3"/>
  <c r="BA438" i="3"/>
  <c r="AZ438" i="3" s="1"/>
  <c r="G443" i="3"/>
  <c r="BA446" i="3"/>
  <c r="AZ446" i="3" s="1"/>
  <c r="BA450" i="3"/>
  <c r="BA453" i="3"/>
  <c r="BA455" i="3"/>
  <c r="AZ455" i="3" s="1"/>
  <c r="BL457" i="3"/>
  <c r="BL460" i="3"/>
  <c r="BL461" i="3"/>
  <c r="BL463" i="3"/>
  <c r="AZ463" i="3" s="1"/>
  <c r="BA471" i="3"/>
  <c r="AZ471" i="3" s="1"/>
  <c r="BL317" i="3"/>
  <c r="BA349" i="3"/>
  <c r="BA353" i="3"/>
  <c r="BL353" i="3"/>
  <c r="BA358" i="3"/>
  <c r="AZ358" i="3" s="1"/>
  <c r="BL365" i="3"/>
  <c r="AZ365" i="3" s="1"/>
  <c r="BA368" i="3"/>
  <c r="BL368" i="3"/>
  <c r="BA374" i="3"/>
  <c r="AZ374" i="3" s="1"/>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BL274" i="3"/>
  <c r="BA276" i="3"/>
  <c r="AZ276" i="3" s="1"/>
  <c r="BA279" i="3"/>
  <c r="BA281" i="3"/>
  <c r="BA296" i="3"/>
  <c r="BA116" i="3"/>
  <c r="AZ116" i="3" s="1"/>
  <c r="BA121" i="3"/>
  <c r="AZ121" i="3" s="1"/>
  <c r="BL121" i="3"/>
  <c r="BA124" i="3"/>
  <c r="BA126" i="3"/>
  <c r="AZ126" i="3" s="1"/>
  <c r="BA128" i="3"/>
  <c r="AZ128" i="3" s="1"/>
  <c r="BA137" i="3"/>
  <c r="AZ137" i="3" s="1"/>
  <c r="BL138" i="3"/>
  <c r="BA140" i="3"/>
  <c r="BA142" i="3"/>
  <c r="BL550" i="3"/>
  <c r="BL15" i="3"/>
  <c r="BA398" i="3"/>
  <c r="AZ398" i="3" s="1"/>
  <c r="BA399" i="3"/>
  <c r="AZ399" i="3" s="1"/>
  <c r="BL401" i="3"/>
  <c r="AZ401" i="3" s="1"/>
  <c r="BL404" i="3"/>
  <c r="BL405" i="3"/>
  <c r="BL407" i="3"/>
  <c r="AZ407" i="3" s="1"/>
  <c r="BA412" i="3"/>
  <c r="AZ412" i="3" s="1"/>
  <c r="BA414" i="3"/>
  <c r="AZ414" i="3" s="1"/>
  <c r="BA415" i="3"/>
  <c r="AZ415" i="3" s="1"/>
  <c r="BA416" i="3"/>
  <c r="AZ416" i="3" s="1"/>
  <c r="BA418" i="3"/>
  <c r="BA421" i="3"/>
  <c r="BA423" i="3"/>
  <c r="AZ423" i="3" s="1"/>
  <c r="BA425" i="3"/>
  <c r="AZ425" i="3" s="1"/>
  <c r="BA426" i="3"/>
  <c r="BA427" i="3"/>
  <c r="AZ427" i="3" s="1"/>
  <c r="BA433" i="3"/>
  <c r="AZ433" i="3" s="1"/>
  <c r="BA435" i="3"/>
  <c r="AZ435" i="3" s="1"/>
  <c r="BL437" i="3"/>
  <c r="AZ437" i="3" s="1"/>
  <c r="G439" i="3"/>
  <c r="G440" i="3"/>
  <c r="BL441" i="3"/>
  <c r="AZ441" i="3" s="1"/>
  <c r="BL442" i="3"/>
  <c r="BL444" i="3"/>
  <c r="G446" i="3"/>
  <c r="G447" i="3"/>
  <c r="BL448" i="3"/>
  <c r="AZ448" i="3" s="1"/>
  <c r="G450" i="3"/>
  <c r="G451" i="3"/>
  <c r="BA454" i="3"/>
  <c r="AZ454" i="3" s="1"/>
  <c r="BA457" i="3"/>
  <c r="BA459" i="3"/>
  <c r="BA460" i="3"/>
  <c r="AZ460" i="3" s="1"/>
  <c r="BA461" i="3"/>
  <c r="AZ461" i="3" s="1"/>
  <c r="BL464" i="3"/>
  <c r="AZ464" i="3" s="1"/>
  <c r="BL466" i="3"/>
  <c r="G468" i="3"/>
  <c r="G469" i="3"/>
  <c r="BL476" i="3"/>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L123" i="3"/>
  <c r="BA134" i="3"/>
  <c r="AZ134" i="3" s="1"/>
  <c r="BL139" i="3"/>
  <c r="G140" i="3"/>
  <c r="BL141" i="3"/>
  <c r="BL143" i="3"/>
  <c r="AZ143" i="3" s="1"/>
  <c r="BA146" i="3"/>
  <c r="AZ146" i="3" s="1"/>
  <c r="BA150" i="3"/>
  <c r="AZ150" i="3" s="1"/>
  <c r="BL167" i="3"/>
  <c r="AZ167" i="3" s="1"/>
  <c r="BL178" i="3"/>
  <c r="BA180" i="3"/>
  <c r="AZ180" i="3" s="1"/>
  <c r="BL182" i="3"/>
  <c r="AZ182" i="3" s="1"/>
  <c r="BA185" i="3"/>
  <c r="BL191" i="3"/>
  <c r="BA193" i="3"/>
  <c r="AZ193" i="3" s="1"/>
  <c r="BA196" i="3"/>
  <c r="AZ196" i="3" s="1"/>
  <c r="G203" i="3"/>
  <c r="BA205" i="3"/>
  <c r="AZ205" i="3" s="1"/>
  <c r="BL20" i="3"/>
  <c r="BA21" i="3"/>
  <c r="AZ21" i="3" s="1"/>
  <c r="BA25" i="3"/>
  <c r="BA26" i="3"/>
  <c r="BL28" i="3"/>
  <c r="BA29" i="3"/>
  <c r="AZ29" i="3" s="1"/>
  <c r="BA43" i="3"/>
  <c r="BL47" i="3"/>
  <c r="AZ47" i="3" s="1"/>
  <c r="G58" i="3"/>
  <c r="BL61" i="3"/>
  <c r="G64" i="3"/>
  <c r="BA64" i="3"/>
  <c r="AZ64" i="3" s="1"/>
  <c r="BA68" i="3"/>
  <c r="BL74" i="3"/>
  <c r="AZ74" i="3" s="1"/>
  <c r="BL75" i="3"/>
  <c r="D44" i="71"/>
  <c r="T44" i="71"/>
  <c r="D34" i="71"/>
  <c r="C35" i="71"/>
  <c r="C55" i="71"/>
  <c r="D54" i="71"/>
  <c r="D67" i="71"/>
  <c r="C66" i="71"/>
  <c r="O67" i="71"/>
  <c r="G130" i="3"/>
  <c r="BA144" i="3"/>
  <c r="AZ144" i="3" s="1"/>
  <c r="G152" i="3"/>
  <c r="BA153" i="3"/>
  <c r="BL155" i="3"/>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L30" i="3"/>
  <c r="BL31" i="3"/>
  <c r="AZ31" i="3" s="1"/>
  <c r="BA40" i="3"/>
  <c r="G46" i="3"/>
  <c r="G47" i="3"/>
  <c r="BL48" i="3"/>
  <c r="AZ48" i="3" s="1"/>
  <c r="BA51" i="3"/>
  <c r="G55" i="3"/>
  <c r="BL56" i="3"/>
  <c r="BA58" i="3"/>
  <c r="AZ58" i="3" s="1"/>
  <c r="BL59" i="3"/>
  <c r="AZ59" i="3" s="1"/>
  <c r="BL60" i="3"/>
  <c r="AZ60" i="3" s="1"/>
  <c r="BA61" i="3"/>
  <c r="AZ61" i="3" s="1"/>
  <c r="BL69" i="3"/>
  <c r="G70" i="3"/>
  <c r="BL70" i="3"/>
  <c r="BL71" i="3"/>
  <c r="BL72" i="3"/>
  <c r="AZ72" i="3" s="1"/>
  <c r="G74" i="3"/>
  <c r="BA75" i="3"/>
  <c r="BL79" i="3"/>
  <c r="G80" i="3"/>
  <c r="G85" i="3"/>
  <c r="BL85" i="3"/>
  <c r="BA86" i="3"/>
  <c r="G89" i="3"/>
  <c r="BA92" i="3"/>
  <c r="BL96" i="3"/>
  <c r="BL97" i="3"/>
  <c r="AZ97" i="3" s="1"/>
  <c r="C64" i="71"/>
  <c r="T64" i="71" s="1"/>
  <c r="D63" i="71"/>
  <c r="AZ38" i="3"/>
  <c r="AZ70" i="3"/>
  <c r="F40" i="69"/>
  <c r="C40" i="69"/>
  <c r="AB21" i="37"/>
  <c r="U21" i="37"/>
  <c r="D31" i="71"/>
  <c r="C32" i="71"/>
  <c r="D50" i="71"/>
  <c r="C51" i="71"/>
  <c r="BL157" i="3"/>
  <c r="AZ157" i="3" s="1"/>
  <c r="BL159" i="3"/>
  <c r="AZ159" i="3" s="1"/>
  <c r="BL177" i="3"/>
  <c r="AZ177" i="3" s="1"/>
  <c r="BL183" i="3"/>
  <c r="BA186" i="3"/>
  <c r="AZ186" i="3" s="1"/>
  <c r="BA190" i="3"/>
  <c r="AZ190" i="3" s="1"/>
  <c r="BA197" i="3"/>
  <c r="AZ197" i="3" s="1"/>
  <c r="BL201" i="3"/>
  <c r="AZ201" i="3" s="1"/>
  <c r="BL203" i="3"/>
  <c r="AZ203" i="3" s="1"/>
  <c r="BA204" i="3"/>
  <c r="BA18" i="3"/>
  <c r="AZ18" i="3" s="1"/>
  <c r="BL21" i="3"/>
  <c r="G23" i="3"/>
  <c r="G29" i="3"/>
  <c r="G38" i="3"/>
  <c r="BA38" i="3"/>
  <c r="BL40" i="3"/>
  <c r="BL41" i="3"/>
  <c r="AZ41" i="3" s="1"/>
  <c r="BA52" i="3"/>
  <c r="AZ52" i="3" s="1"/>
  <c r="BA53" i="3"/>
  <c r="BA54" i="3"/>
  <c r="G67" i="3"/>
  <c r="BL68" i="3"/>
  <c r="BA69" i="3"/>
  <c r="BA73" i="3"/>
  <c r="AZ73" i="3" s="1"/>
  <c r="BL86" i="3"/>
  <c r="BA88" i="3"/>
  <c r="AZ88" i="3" s="1"/>
  <c r="BA89" i="3"/>
  <c r="G93" i="3"/>
  <c r="BA98" i="3"/>
  <c r="W21" i="21"/>
  <c r="U21" i="33"/>
  <c r="AB21" i="33"/>
  <c r="T28" i="71"/>
  <c r="D28" i="71"/>
  <c r="U28" i="71" s="1"/>
  <c r="C27" i="71"/>
  <c r="C60" i="71"/>
  <c r="D59" i="71"/>
  <c r="F66" i="71"/>
  <c r="Q66" i="71" s="1"/>
  <c r="Q67" i="71"/>
  <c r="V24" i="71"/>
  <c r="E23" i="71"/>
  <c r="E22" i="71" s="1"/>
  <c r="E21" i="71" s="1"/>
  <c r="E20" i="71" s="1"/>
  <c r="E19" i="71" s="1"/>
  <c r="E18" i="71" s="1"/>
  <c r="E17" i="71" s="1"/>
  <c r="E16" i="71" s="1"/>
  <c r="G103" i="3"/>
  <c r="BA103" i="3"/>
  <c r="AZ103" i="3" s="1"/>
  <c r="BA104" i="3"/>
  <c r="BA106" i="3"/>
  <c r="BL108" i="3"/>
  <c r="AZ108" i="3" s="1"/>
  <c r="BL111" i="3"/>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L29" i="3"/>
  <c r="G33" i="3"/>
  <c r="G34" i="3"/>
  <c r="BA37" i="3"/>
  <c r="G39" i="3"/>
  <c r="BL39" i="3"/>
  <c r="AZ39" i="3" s="1"/>
  <c r="G43" i="3"/>
  <c r="G44" i="3"/>
  <c r="BA45" i="3"/>
  <c r="AZ45" i="3" s="1"/>
  <c r="BA46" i="3"/>
  <c r="BL49" i="3"/>
  <c r="AZ49" i="3" s="1"/>
  <c r="BL50" i="3"/>
  <c r="AZ50" i="3" s="1"/>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G90" i="3"/>
  <c r="BL90" i="3"/>
  <c r="BL92" i="3"/>
  <c r="AZ92" i="3" s="1"/>
  <c r="G101" i="3"/>
  <c r="BA101" i="3"/>
  <c r="AZ101" i="3" s="1"/>
  <c r="G108" i="3"/>
  <c r="G109" i="3"/>
  <c r="BL112" i="3"/>
  <c r="U25" i="40"/>
  <c r="S21" i="34"/>
  <c r="B68" i="43"/>
  <c r="B88" i="43"/>
  <c r="D76" i="71"/>
  <c r="T68" i="71"/>
  <c r="X34" i="71"/>
  <c r="X31" i="71"/>
  <c r="F35" i="71"/>
  <c r="F36" i="71" s="1"/>
  <c r="V36" i="71" s="1"/>
  <c r="AA34" i="71"/>
  <c r="AB35" i="71"/>
  <c r="G79" i="3"/>
  <c r="BL81" i="3"/>
  <c r="BA82" i="3"/>
  <c r="AZ82" i="3" s="1"/>
  <c r="BL83" i="3"/>
  <c r="G86" i="3"/>
  <c r="G87" i="3"/>
  <c r="BA90" i="3"/>
  <c r="BL94" i="3"/>
  <c r="AZ94" i="3" s="1"/>
  <c r="BA100" i="3"/>
  <c r="AZ100" i="3" s="1"/>
  <c r="BA102" i="3"/>
  <c r="AZ102" i="3" s="1"/>
  <c r="BL105" i="3"/>
  <c r="AZ105" i="3" s="1"/>
  <c r="G107" i="3"/>
  <c r="BL107" i="3"/>
  <c r="BA111" i="3"/>
  <c r="AZ111" i="3" s="1"/>
  <c r="K13" i="1"/>
  <c r="M13" i="1" s="1"/>
  <c r="O13" i="1" s="1"/>
  <c r="P13" i="1"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52" i="3"/>
  <c r="AZ456" i="3"/>
  <c r="AZ467" i="3"/>
  <c r="AZ468" i="3"/>
  <c r="AZ470" i="3"/>
  <c r="W35" i="39"/>
  <c r="F27" i="34"/>
  <c r="C21" i="39"/>
  <c r="U9" i="36"/>
  <c r="U14" i="37"/>
  <c r="H12" i="21"/>
  <c r="G526" i="3"/>
  <c r="AZ420" i="3"/>
  <c r="AZ436" i="3"/>
  <c r="AZ450" i="3"/>
  <c r="G28" i="6"/>
  <c r="G30" i="6" s="1"/>
  <c r="G31" i="6" s="1"/>
  <c r="U26" i="21"/>
  <c r="W36" i="39"/>
  <c r="U23" i="40"/>
  <c r="AA39" i="37"/>
  <c r="AC16" i="36"/>
  <c r="AB12" i="33"/>
  <c r="C27" i="39"/>
  <c r="U40" i="40"/>
  <c r="AC9" i="40"/>
  <c r="W36" i="35"/>
  <c r="J12" i="21"/>
  <c r="B73" i="43"/>
  <c r="B76" i="43"/>
  <c r="F9" i="36"/>
  <c r="J40" i="40"/>
  <c r="G562" i="3"/>
  <c r="AZ489" i="3"/>
  <c r="AZ212" i="3"/>
  <c r="AZ220" i="3"/>
  <c r="AZ231"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BA352" i="3"/>
  <c r="AZ352" i="3" s="1"/>
  <c r="BL354" i="3"/>
  <c r="AZ354" i="3" s="1"/>
  <c r="G378" i="3"/>
  <c r="G395" i="3"/>
  <c r="G208" i="3"/>
  <c r="G211" i="3"/>
  <c r="BA213" i="3"/>
  <c r="AZ213" i="3" s="1"/>
  <c r="BA215" i="3"/>
  <c r="AZ215" i="3" s="1"/>
  <c r="G219" i="3"/>
  <c r="AZ221" i="3"/>
  <c r="AZ225" i="3"/>
  <c r="G230" i="3"/>
  <c r="BA232" i="3"/>
  <c r="BA234" i="3"/>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26" i="3"/>
  <c r="G240" i="3"/>
  <c r="G242" i="3"/>
  <c r="G245" i="3"/>
  <c r="BL246" i="3"/>
  <c r="AZ246" i="3" s="1"/>
  <c r="BL253" i="3"/>
  <c r="AZ253" i="3" s="1"/>
  <c r="BA261" i="3"/>
  <c r="BA264" i="3"/>
  <c r="AZ264" i="3" s="1"/>
  <c r="BA266" i="3"/>
  <c r="AZ266" i="3" s="1"/>
  <c r="G272" i="3"/>
  <c r="G275" i="3"/>
  <c r="BL276" i="3"/>
  <c r="BL279" i="3"/>
  <c r="AZ279" i="3" s="1"/>
  <c r="BL281" i="3"/>
  <c r="AZ281" i="3" s="1"/>
  <c r="BA285" i="3"/>
  <c r="AZ285" i="3" s="1"/>
  <c r="BA287" i="3"/>
  <c r="AZ287" i="3" s="1"/>
  <c r="AZ290" i="3"/>
  <c r="AZ207"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AZ30" i="3"/>
  <c r="BL36" i="3"/>
  <c r="AZ36" i="3" s="1"/>
  <c r="AZ40" i="3"/>
  <c r="AZ68"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BA206" i="3"/>
  <c r="AZ206" i="3" s="1"/>
  <c r="BL22" i="3"/>
  <c r="AZ22" i="3" s="1"/>
  <c r="BL33" i="3"/>
  <c r="AZ33" i="3" s="1"/>
  <c r="BL43" i="3"/>
  <c r="BL46" i="3"/>
  <c r="AZ54" i="3"/>
  <c r="AZ90" i="3"/>
  <c r="BL78" i="3"/>
  <c r="BA83" i="3"/>
  <c r="AZ83" i="3" s="1"/>
  <c r="G91" i="3"/>
  <c r="BL95" i="3"/>
  <c r="BL98" i="3"/>
  <c r="BL109" i="3"/>
  <c r="AZ109" i="3" s="1"/>
  <c r="AB21" i="21"/>
  <c r="AZ78" i="3"/>
  <c r="AZ95" i="3"/>
  <c r="G77" i="3"/>
  <c r="BA81" i="3"/>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BA99" i="3"/>
  <c r="AZ99" i="3" s="1"/>
  <c r="BL104" i="3"/>
  <c r="AZ104" i="3" s="1"/>
  <c r="D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AB37" i="21"/>
  <c r="AC37" i="21"/>
  <c r="S33" i="21"/>
  <c r="AC36" i="33"/>
  <c r="S33" i="37"/>
  <c r="AC9" i="37"/>
  <c r="W11" i="37"/>
  <c r="AA8" i="37"/>
  <c r="AA9" i="37"/>
  <c r="AA12" i="37"/>
  <c r="AB9" i="37"/>
  <c r="U11" i="37"/>
  <c r="U12" i="37"/>
  <c r="AC8" i="37"/>
  <c r="AB37" i="34"/>
  <c r="AC11" i="34"/>
  <c r="U33" i="21"/>
  <c r="S9" i="33"/>
  <c r="S8" i="33"/>
  <c r="U8" i="33"/>
  <c r="W8" i="21"/>
  <c r="S8" i="21"/>
  <c r="AA11" i="21"/>
  <c r="AC11" i="21"/>
  <c r="AB11" i="21"/>
  <c r="C30" i="69"/>
  <c r="F53" i="9"/>
  <c r="C5" i="11"/>
  <c r="C4" i="12"/>
  <c r="E14" i="6"/>
  <c r="E63" i="39" s="1"/>
  <c r="I4" i="6"/>
  <c r="G3" i="43" s="1"/>
  <c r="G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O23" i="43"/>
  <c r="I18" i="43"/>
  <c r="E17" i="43" s="1"/>
  <c r="C17" i="43" s="1"/>
  <c r="F26" i="43"/>
  <c r="J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C36" i="69"/>
  <c r="D9" i="68"/>
  <c r="D4" i="73"/>
  <c r="C16" i="15"/>
  <c r="D5" i="73"/>
  <c r="C16" i="67"/>
  <c r="D3" i="73"/>
  <c r="D7" i="73"/>
  <c r="H7" i="80" l="1"/>
  <c r="L7" i="80"/>
  <c r="H5" i="80"/>
  <c r="L5" i="80"/>
  <c r="H6" i="80"/>
  <c r="L6" i="80"/>
  <c r="I6" i="80"/>
  <c r="J6" i="80"/>
  <c r="I7" i="80"/>
  <c r="J7" i="80"/>
  <c r="I5" i="80"/>
  <c r="J5" i="80"/>
  <c r="B20" i="31"/>
  <c r="B21" i="31" s="1"/>
  <c r="G16" i="1"/>
  <c r="F10" i="39" s="1"/>
  <c r="C36" i="71"/>
  <c r="D35" i="71"/>
  <c r="C40" i="71"/>
  <c r="D39" i="71"/>
  <c r="O65" i="71"/>
  <c r="D66" i="71"/>
  <c r="O66" i="71"/>
  <c r="AZ25" i="3"/>
  <c r="AC9" i="34"/>
  <c r="W9" i="34"/>
  <c r="U13" i="21"/>
  <c r="AB13" i="21"/>
  <c r="U12" i="34"/>
  <c r="AB12" i="34"/>
  <c r="D20" i="53"/>
  <c r="B40" i="72" s="1"/>
  <c r="E28" i="6"/>
  <c r="K14" i="1" s="1"/>
  <c r="K16" i="1" s="1"/>
  <c r="AZ234" i="3"/>
  <c r="AZ209" i="3"/>
  <c r="AZ86" i="3"/>
  <c r="AZ353" i="3"/>
  <c r="AA44" i="39"/>
  <c r="S44" i="39"/>
  <c r="W13" i="33"/>
  <c r="AC13" i="33"/>
  <c r="Q65" i="71"/>
  <c r="AZ81" i="3"/>
  <c r="AZ98" i="3"/>
  <c r="AZ261" i="3"/>
  <c r="AZ396" i="3"/>
  <c r="AZ232" i="3"/>
  <c r="AZ333" i="3"/>
  <c r="V20" i="71"/>
  <c r="D83" i="71"/>
  <c r="C82" i="71"/>
  <c r="D82" i="71" s="1"/>
  <c r="D60" i="71"/>
  <c r="T60" i="71"/>
  <c r="AZ75" i="3"/>
  <c r="AZ459" i="3"/>
  <c r="AZ421" i="3"/>
  <c r="AZ453" i="3"/>
  <c r="AZ408" i="3"/>
  <c r="AZ302" i="3"/>
  <c r="AZ284" i="3"/>
  <c r="AZ277" i="3"/>
  <c r="AZ256" i="3"/>
  <c r="AZ491" i="3"/>
  <c r="AA38" i="40"/>
  <c r="S38" i="40"/>
  <c r="AZ550" i="3"/>
  <c r="AC12" i="40"/>
  <c r="W12" i="40"/>
  <c r="AC9" i="36"/>
  <c r="W9" i="36"/>
  <c r="AB46" i="21"/>
  <c r="U46" i="21"/>
  <c r="AZ586" i="3"/>
  <c r="AB44" i="39"/>
  <c r="U44" i="39"/>
  <c r="AC44" i="21"/>
  <c r="W44" i="21"/>
  <c r="D75" i="71"/>
  <c r="C74" i="71"/>
  <c r="D74" i="71" s="1"/>
  <c r="S35" i="35"/>
  <c r="AA35" i="35"/>
  <c r="AB24" i="36"/>
  <c r="U24" i="36"/>
  <c r="AC28" i="33"/>
  <c r="W28" i="33"/>
  <c r="AZ117" i="3"/>
  <c r="D79" i="71"/>
  <c r="C78" i="71"/>
  <c r="D78" i="71" s="1"/>
  <c r="T32" i="71"/>
  <c r="D32" i="71"/>
  <c r="AZ271" i="3"/>
  <c r="AZ368" i="3"/>
  <c r="AZ297" i="3"/>
  <c r="AZ241" i="3"/>
  <c r="AZ210" i="3"/>
  <c r="AB38" i="40"/>
  <c r="U38" i="40"/>
  <c r="AC24" i="36"/>
  <c r="W24" i="36"/>
  <c r="U28" i="33"/>
  <c r="AB28" i="33"/>
  <c r="AB30" i="34"/>
  <c r="U30" i="34"/>
  <c r="W12" i="34"/>
  <c r="AC12" i="34"/>
  <c r="E26" i="43"/>
  <c r="H26" i="43"/>
  <c r="S9" i="34"/>
  <c r="U11" i="35"/>
  <c r="AB13" i="33"/>
  <c r="AZ96" i="3"/>
  <c r="AZ112" i="3"/>
  <c r="G5" i="3"/>
  <c r="B3" i="3" s="1"/>
  <c r="E510" i="3" s="1"/>
  <c r="AZ43" i="3"/>
  <c r="AZ295" i="3"/>
  <c r="AZ142" i="3"/>
  <c r="AZ348" i="3"/>
  <c r="C70" i="71"/>
  <c r="D70" i="71" s="1"/>
  <c r="D71" i="71"/>
  <c r="C26" i="71"/>
  <c r="D26" i="71" s="1"/>
  <c r="D27" i="71"/>
  <c r="AZ69" i="3"/>
  <c r="AZ53" i="3"/>
  <c r="C52" i="71"/>
  <c r="D51" i="71"/>
  <c r="AZ51" i="3"/>
  <c r="C56" i="71"/>
  <c r="D55" i="71"/>
  <c r="AZ483" i="3"/>
  <c r="AZ457" i="3"/>
  <c r="AZ418" i="3"/>
  <c r="AZ274" i="3"/>
  <c r="AZ244" i="3"/>
  <c r="AZ239" i="3"/>
  <c r="AZ397" i="3"/>
  <c r="U33" i="40"/>
  <c r="AB33" i="40"/>
  <c r="AC29" i="34"/>
  <c r="W29" i="34"/>
  <c r="AA46" i="21"/>
  <c r="S46" i="21"/>
  <c r="U9" i="34"/>
  <c r="AB9" i="34"/>
  <c r="W11" i="35"/>
  <c r="AC11" i="35"/>
  <c r="AA44" i="21"/>
  <c r="S44" i="21"/>
  <c r="J7" i="37"/>
  <c r="K1" i="73"/>
  <c r="E539" i="3"/>
  <c r="E212" i="3"/>
  <c r="E286" i="3"/>
  <c r="E499" i="3"/>
  <c r="E502" i="3"/>
  <c r="E442" i="3"/>
  <c r="E466" i="3"/>
  <c r="E430" i="3"/>
  <c r="E449" i="3"/>
  <c r="E255" i="3"/>
  <c r="AP6" i="3"/>
  <c r="E554" i="3"/>
  <c r="E517" i="3"/>
  <c r="E491" i="3"/>
  <c r="E417" i="3"/>
  <c r="E479" i="3"/>
  <c r="E37" i="3"/>
  <c r="E95" i="3"/>
  <c r="E152" i="3"/>
  <c r="E258" i="3"/>
  <c r="E241" i="3"/>
  <c r="E292" i="3"/>
  <c r="E349" i="3"/>
  <c r="E389" i="3"/>
  <c r="E544" i="3"/>
  <c r="E59" i="3"/>
  <c r="E409" i="3"/>
  <c r="E484" i="3"/>
  <c r="E467" i="3"/>
  <c r="E64" i="3"/>
  <c r="E46" i="3"/>
  <c r="E160" i="3"/>
  <c r="E267" i="3"/>
  <c r="E249" i="3"/>
  <c r="E371" i="3"/>
  <c r="E310" i="3"/>
  <c r="E492" i="3"/>
  <c r="E84" i="3"/>
  <c r="E67" i="3"/>
  <c r="E33" i="3"/>
  <c r="E184" i="3"/>
  <c r="E233" i="3"/>
  <c r="E355" i="3"/>
  <c r="E68" i="3"/>
  <c r="E63" i="3"/>
  <c r="E81" i="3"/>
  <c r="E283" i="3"/>
  <c r="E309" i="3"/>
  <c r="E513" i="3"/>
  <c r="E494" i="3"/>
  <c r="E198" i="3"/>
  <c r="E281" i="3"/>
  <c r="E391" i="3"/>
  <c r="AL6" i="3"/>
  <c r="E42" i="3"/>
  <c r="E482" i="3"/>
  <c r="E18" i="3"/>
  <c r="E96" i="3"/>
  <c r="E174" i="3"/>
  <c r="E235" i="3"/>
  <c r="E383" i="3"/>
  <c r="E86" i="3"/>
  <c r="E34" i="3"/>
  <c r="E206" i="3"/>
  <c r="AF6" i="3"/>
  <c r="E102" i="3"/>
  <c r="E113" i="3"/>
  <c r="E308" i="3"/>
  <c r="E22" i="3"/>
  <c r="E205" i="3"/>
  <c r="E197" i="3"/>
  <c r="E173" i="3"/>
  <c r="E525" i="3"/>
  <c r="T6" i="3"/>
  <c r="E405" i="3"/>
  <c r="E456" i="3"/>
  <c r="E512" i="3"/>
  <c r="E408" i="3"/>
  <c r="E451" i="3"/>
  <c r="E556" i="3"/>
  <c r="E497" i="3"/>
  <c r="E13" i="3"/>
  <c r="E470" i="3"/>
  <c r="E420" i="3"/>
  <c r="E26" i="3"/>
  <c r="E41" i="3"/>
  <c r="E115" i="3"/>
  <c r="E225" i="3"/>
  <c r="E356" i="3"/>
  <c r="E428" i="3"/>
  <c r="E412" i="3"/>
  <c r="E190" i="3"/>
  <c r="E220" i="3"/>
  <c r="E324" i="3"/>
  <c r="E35" i="3"/>
  <c r="E49" i="3"/>
  <c r="E232" i="3"/>
  <c r="E80" i="3"/>
  <c r="E158" i="3"/>
  <c r="E326" i="3"/>
  <c r="E329" i="3"/>
  <c r="E16" i="3"/>
  <c r="E188" i="3"/>
  <c r="E116" i="3"/>
  <c r="E105" i="3"/>
  <c r="E393" i="3"/>
  <c r="E564" i="3"/>
  <c r="E543" i="3"/>
  <c r="E427" i="3"/>
  <c r="E507" i="3"/>
  <c r="E422" i="3"/>
  <c r="E440" i="3"/>
  <c r="E376" i="3"/>
  <c r="AH6" i="3"/>
  <c r="J6" i="3"/>
  <c r="E419" i="3"/>
  <c r="E401" i="3"/>
  <c r="E463" i="3"/>
  <c r="E25" i="3"/>
  <c r="E108" i="3"/>
  <c r="E178" i="3"/>
  <c r="E226" i="3"/>
  <c r="E276" i="3"/>
  <c r="E346" i="3"/>
  <c r="E372" i="3"/>
  <c r="L6" i="3"/>
  <c r="E60" i="3"/>
  <c r="E540" i="3"/>
  <c r="E473" i="3"/>
  <c r="E15" i="3"/>
  <c r="E79" i="3"/>
  <c r="E38" i="3"/>
  <c r="E170" i="3"/>
  <c r="E194" i="3"/>
  <c r="E234" i="3"/>
  <c r="E299" i="3"/>
  <c r="E325" i="3"/>
  <c r="E392" i="3"/>
  <c r="AQ6" i="3"/>
  <c r="E36" i="3"/>
  <c r="E112" i="3"/>
  <c r="E123" i="3"/>
  <c r="E289" i="3"/>
  <c r="E340" i="3"/>
  <c r="E364" i="3"/>
  <c r="E20" i="3"/>
  <c r="E62" i="3"/>
  <c r="E176"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G1" i="73"/>
  <c r="E575" i="3" l="1"/>
  <c r="E536" i="3"/>
  <c r="T52" i="71"/>
  <c r="D52" i="71"/>
  <c r="T40" i="71"/>
  <c r="D40" i="71"/>
  <c r="D56" i="71"/>
  <c r="T56" i="71"/>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D36" i="71"/>
  <c r="T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C35" i="9"/>
  <c r="M27" i="67"/>
  <c r="M27" i="15"/>
  <c r="F41" i="15"/>
  <c r="F22" i="68" l="1"/>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44" i="11"/>
  <c r="D41" i="11" s="1"/>
  <c r="C26" i="11"/>
  <c r="D22" i="11" s="1"/>
  <c r="C34" i="9"/>
  <c r="C66" i="67"/>
  <c r="C60" i="67"/>
  <c r="D10" i="69"/>
  <c r="C34" i="69"/>
  <c r="D10" i="68"/>
  <c r="C17" i="15"/>
  <c r="C17" i="67"/>
  <c r="C14" i="67"/>
  <c r="C26" i="68" l="1"/>
  <c r="D22" i="68" s="1"/>
  <c r="C23" i="68"/>
  <c r="F41" i="68"/>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15"/>
  <c r="F35" i="15"/>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7"/>
  <c r="D2" i="36"/>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8" i="1"/>
  <c r="AO9" i="1"/>
  <c r="AO6" i="1"/>
  <c r="AO12" i="1"/>
  <c r="AO7" i="1"/>
  <c r="AO10"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53" i="72" l="1"/>
  <c r="F5" i="52"/>
  <c r="F119" i="9"/>
  <c r="M68" i="9"/>
  <c r="L68" i="9"/>
  <c r="M64" i="9"/>
  <c r="L64" i="9"/>
  <c r="M65" i="9"/>
  <c r="L65" i="9"/>
  <c r="M54" i="9"/>
  <c r="D56" i="9"/>
  <c r="D58" i="9"/>
  <c r="C97" i="9"/>
  <c r="B21" i="72"/>
  <c r="D7" i="53"/>
  <c r="D59" i="9"/>
  <c r="M55" i="9"/>
  <c r="N69" i="9"/>
  <c r="M69" i="9"/>
  <c r="M63" i="9"/>
  <c r="L63" i="9"/>
  <c r="B47" i="72"/>
  <c r="D4" i="52"/>
  <c r="C6" i="74"/>
  <c r="E97" i="9"/>
  <c r="E96" i="9"/>
  <c r="C85" i="9"/>
  <c r="C95" i="9"/>
  <c r="C96" i="9"/>
  <c r="M66" i="9"/>
  <c r="L66" i="9"/>
  <c r="C64" i="9"/>
  <c r="C63" i="9"/>
  <c r="C67" i="9"/>
  <c r="C68" i="9"/>
  <c r="D54" i="9"/>
  <c r="H102" i="9"/>
  <c r="C5" i="74"/>
  <c r="C80" i="9"/>
  <c r="E80" i="9"/>
  <c r="E81" i="9"/>
  <c r="B32" i="72"/>
  <c r="D14" i="53"/>
  <c r="C105" i="9"/>
  <c r="I4" i="52"/>
  <c r="C73" i="9"/>
  <c r="C78" i="9"/>
  <c r="M67" i="9"/>
  <c r="L67" i="9"/>
  <c r="B20" i="72"/>
  <c r="B51" i="72"/>
  <c r="F4" i="52"/>
  <c r="C72" i="9"/>
  <c r="C79" i="9"/>
  <c r="C81" i="9"/>
  <c r="N60" i="9"/>
  <c r="M49" i="9"/>
  <c r="N59" i="9"/>
  <c r="N61" i="9"/>
  <c r="H108" i="9"/>
  <c r="D15" i="53"/>
  <c r="B31" i="72"/>
  <c r="H5" i="52"/>
  <c r="H119" i="9"/>
  <c r="F118" i="9"/>
  <c r="G118" i="9"/>
  <c r="G4" i="52"/>
  <c r="B52" i="72"/>
  <c r="N58" i="9"/>
  <c r="D55" i="9"/>
  <c r="M53" i="9"/>
  <c r="N57" i="9"/>
  <c r="P57" i="9"/>
  <c r="C104" i="9"/>
  <c r="H4" i="52"/>
  <c r="M48" i="9"/>
  <c r="C86" i="9"/>
  <c r="C93" i="9"/>
  <c r="D8" i="52"/>
  <c r="D53" i="9"/>
  <c r="D45" i="9"/>
  <c r="D52" i="9"/>
  <c r="D5" i="53"/>
  <c r="D6" i="53"/>
  <c r="B22" i="72"/>
  <c r="D13" i="53"/>
  <c r="B30" i="72"/>
  <c r="D118" i="9"/>
  <c r="D119" i="9"/>
  <c r="D5" i="52"/>
  <c r="B49" i="72"/>
  <c r="E118" i="9"/>
  <c r="E4" i="52"/>
  <c r="B48" i="72"/>
  <c r="I118" i="9"/>
  <c r="H118" i="9"/>
  <c r="H101" i="9"/>
  <c r="H107" i="9"/>
  <c r="D122" i="9"/>
  <c r="D123" i="9"/>
  <c r="D9"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<sst xmlns="http://schemas.openxmlformats.org/spreadsheetml/2006/main" count="7877" uniqueCount="3434">
  <si>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</si>
  <si>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</si>
  <si>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</si>
  <si>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</si>
  <si>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</si>
  <si>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</si>
  <si>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</si>
  <si>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</si>
  <si>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</si>
  <si>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</si>
  <si>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</si>
  <si>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</si>
  <si>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</si>
  <si>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</si>
  <si>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</si>
  <si>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</si>
  <si>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</si>
  <si>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</si>
  <si>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</si>
  <si>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</si>
  <si>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</si>
  <si>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</si>
  <si>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</si>
  <si>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</si>
  <si>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</si>
  <si>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</si>
  <si>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</si>
  <si>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</si>
  <si>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</si>
  <si>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</si>
  <si>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</si>
  <si>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</si>
  <si>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</si>
  <si>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</si>
  <si>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</si>
  <si>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</si>
  <si>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</si>
  <si>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</si>
  <si>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</si>
  <si>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</si>
  <si>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</si>
  <si>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</si>
  <si>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</si>
  <si>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</si>
  <si>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</si>
  <si>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</si>
  <si>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</si>
  <si>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</si>
  <si>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</si>
  <si>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</si>
  <si>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</si>
  <si>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</si>
  <si>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</si>
  <si>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</si>
  <si>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</si>
  <si>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</si>
  <si>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</si>
  <si>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</si>
  <si>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</si>
  <si>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</si>
  <si>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</si>
  <si>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</si>
  <si>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</si>
  <si>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</si>
  <si>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</si>
  <si>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</si>
  <si>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</si>
  <si>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</si>
  <si>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</si>
  <si>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</si>
  <si>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</si>
  <si>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</si>
  <si>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</si>
  <si>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</si>
  <si>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</si>
  <si>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</si>
  <si>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</si>
  <si>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</si>
  <si>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</si>
  <si>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</si>
  <si>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</si>
  <si>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</si>
  <si>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</si>
  <si>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</si>
  <si>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</si>
  <si>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</si>
  <si>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</si>
  <si>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</si>
  <si>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</si>
  <si>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</si>
  <si>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</si>
  <si>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</si>
  <si>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</si>
  <si>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</si>
  <si>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</si>
  <si>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</si>
  <si>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</si>
  <si>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</si>
  <si>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</si>
  <si>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</si>
  <si>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</si>
  <si>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</si>
  <si>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</si>
  <si>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</si>
  <si>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</si>
  <si>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</si>
  <si>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</si>
  <si>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</si>
  <si>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</si>
  <si>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</si>
  <si>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</si>
  <si>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</si>
  <si>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</si>
  <si>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</si>
  <si>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</si>
  <si>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</si>
  <si>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</si>
  <si>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</si>
  <si>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</si>
  <si>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</si>
  <si>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</si>
  <si>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</si>
  <si>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</si>
  <si>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</si>
  <si>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</si>
  <si>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</si>
  <si>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</si>
  <si>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</si>
  <si>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</si>
  <si>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</si>
  <si>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</si>
  <si>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</si>
  <si>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</si>
  <si>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</si>
  <si>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</si>
  <si>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</si>
  <si>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</si>
  <si>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</si>
  <si>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</si>
  <si>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</si>
  <si>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</si>
  <si>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</si>
  <si>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</si>
  <si>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</si>
  <si>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</si>
  <si>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</si>
  <si>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</si>
  <si>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</si>
  <si>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</si>
  <si>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</si>
  <si>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</si>
  <si>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</si>
  <si>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</si>
  <si>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</si>
  <si>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</si>
  <si>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</si>
  <si>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</si>
  <si>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</si>
  <si>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</si>
  <si>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</si>
  <si>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</si>
  <si>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</si>
  <si>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</si>
  <si>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</si>
  <si>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</si>
  <si>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</si>
  <si>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</si>
  <si>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</si>
  <si>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</si>
  <si>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</si>
  <si>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</si>
  <si>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</si>
  <si>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</si>
  <si>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</si>
  <si>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</si>
  <si>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</si>
  <si>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</si>
  <si>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</si>
  <si>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</si>
  <si>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</si>
  <si>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</si>
  <si>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</si>
  <si>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</si>
  <si>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</si>
  <si>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</si>
  <si>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</si>
  <si>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</si>
  <si>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</si>
  <si>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</si>
  <si>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</si>
  <si>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</si>
  <si>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</si>
  <si>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</si>
  <si>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</si>
  <si>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</si>
  <si>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</si>
  <si>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</si>
  <si>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</si>
  <si>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</si>
  <si>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</si>
  <si>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</si>
  <si>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</si>
  <si>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</si>
  <si>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</si>
  <si>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</si>
  <si>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</si>
  <si>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</si>
  <si>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</si>
  <si>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</si>
  <si>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</si>
  <si>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</si>
  <si>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</si>
  <si>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</si>
  <si>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</si>
  <si>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</si>
  <si>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</si>
  <si>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</si>
  <si>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</si>
  <si>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</si>
  <si>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</si>
  <si>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</si>
  <si>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</si>
  <si>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</si>
  <si>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</si>
  <si>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</si>
  <si>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</si>
  <si>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</si>
  <si>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</si>
  <si>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</si>
  <si>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</si>
  <si>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</si>
  <si>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</si>
  <si>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</si>
  <si>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</si>
  <si>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</si>
  <si>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</si>
  <si>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</si>
  <si>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</si>
  <si>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</si>
  <si>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</si>
  <si>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</si>
  <si>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</si>
  <si>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</si>
  <si>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</si>
  <si>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</si>
  <si>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</si>
  <si>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</si>
  <si>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</si>
  <si>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</si>
  <si>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</si>
  <si>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</si>
  <si>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</si>
  <si>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</si>
  <si>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</si>
  <si>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</si>
  <si>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</si>
  <si>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</si>
  <si>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</si>
  <si>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</si>
  <si>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</si>
  <si>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</si>
  <si>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</si>
  <si>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</si>
  <si>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</si>
  <si>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</si>
  <si>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</si>
  <si>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</si>
  <si>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</si>
  <si>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</si>
  <si>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</si>
  <si>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</si>
  <si>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</si>
  <si>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</si>
  <si>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</si>
  <si>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</si>
  <si>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</si>
  <si>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</si>
  <si>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</si>
  <si>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</si>
  <si>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</si>
  <si>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</si>
  <si>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</si>
  <si>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</si>
  <si>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</si>
  <si>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</si>
  <si>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</si>
  <si>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</si>
  <si>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</si>
  <si>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</si>
  <si>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</si>
  <si>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</si>
  <si>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</si>
  <si>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</si>
  <si>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</si>
  <si>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</si>
  <si>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</si>
  <si>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</si>
  <si>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</si>
  <si>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</si>
  <si>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</si>
  <si>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</si>
  <si>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</si>
  <si>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</si>
  <si>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</si>
  <si>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</si>
  <si>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</si>
  <si>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</si>
  <si>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</si>
  <si>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</si>
  <si>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</si>
  <si>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</si>
  <si>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</si>
  <si>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</si>
  <si>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</si>
  <si>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</si>
  <si>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</si>
  <si>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</si>
  <si>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</si>
  <si>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</si>
  <si>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</si>
  <si>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</si>
  <si>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</si>
  <si>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</si>
  <si>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</si>
  <si>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</si>
  <si>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</si>
  <si>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</si>
  <si>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</si>
  <si>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</si>
  <si>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</si>
  <si>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</si>
  <si>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</si>
  <si>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</si>
  <si>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</si>
  <si>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</si>
  <si>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</si>
  <si>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</si>
  <si>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</si>
  <si>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</si>
  <si>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</si>
  <si>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</si>
  <si>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</si>
  <si>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</si>
  <si>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</si>
  <si>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</si>
  <si>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</si>
  <si>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</si>
  <si>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</si>
  <si>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</si>
  <si>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</si>
  <si>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</si>
  <si>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</si>
  <si>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</si>
  <si>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</si>
  <si>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</si>
  <si>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</si>
  <si>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</si>
  <si>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</si>
  <si>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</si>
  <si>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</si>
  <si>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</si>
  <si>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</si>
  <si>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</si>
  <si>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</si>
  <si>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</si>
  <si>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</si>
  <si>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</si>
  <si>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</si>
  <si>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</si>
  <si>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</si>
  <si>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</si>
  <si>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</si>
  <si>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</si>
  <si>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</si>
  <si>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</si>
  <si>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</si>
  <si>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</si>
  <si>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</si>
  <si>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</si>
  <si>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</si>
  <si>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</si>
  <si>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</si>
  <si>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</si>
  <si>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</si>
  <si>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</si>
  <si>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</si>
  <si>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</si>
  <si>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</si>
  <si>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</si>
  <si>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</si>
  <si>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</si>
  <si>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</si>
  <si>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</si>
  <si>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</si>
  <si>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</si>
  <si>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</si>
  <si>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</si>
  <si>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</si>
  <si>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</si>
  <si>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</si>
  <si>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</si>
  <si>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</si>
  <si>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</si>
  <si>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</si>
  <si>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</si>
  <si>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</si>
  <si>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</si>
  <si>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</si>
  <si>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</si>
  <si>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</si>
  <si>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</si>
  <si>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</si>
  <si>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</si>
  <si>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</si>
  <si>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</si>
  <si>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</si>
  <si>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</si>
  <si>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</si>
  <si>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</si>
  <si>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</si>
  <si>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</si>
  <si>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</si>
  <si>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</si>
  <si>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</si>
  <si>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</si>
  <si>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</si>
  <si>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</si>
  <si>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</si>
  <si>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</si>
  <si>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</si>
  <si>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</si>
  <si>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</si>
  <si>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</si>
  <si>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</si>
  <si>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</si>
  <si>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</si>
  <si>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</si>
  <si>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</si>
  <si>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</si>
  <si>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</si>
  <si>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</si>
  <si>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</si>
  <si>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</si>
  <si>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</si>
  <si>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</si>
  <si>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</si>
  <si>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</si>
  <si>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</si>
  <si>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</si>
  <si>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</si>
  <si>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</si>
  <si>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</si>
  <si>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</si>
  <si>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</si>
  <si>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</si>
  <si>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</si>
  <si>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</si>
  <si>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</si>
  <si>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</si>
  <si>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</si>
  <si>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</si>
  <si>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</si>
  <si>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</si>
  <si>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</si>
  <si>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</si>
  <si>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</si>
  <si>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</si>
  <si>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</si>
  <si>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</si>
  <si>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</si>
  <si>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</si>
  <si>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</si>
  <si>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</si>
  <si>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</si>
  <si>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</si>
  <si>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</si>
  <si>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</si>
  <si>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</si>
  <si>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</si>
  <si>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</si>
  <si>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</si>
  <si>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</si>
  <si>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</si>
  <si>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</si>
  <si>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</si>
  <si>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</si>
  <si>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</si>
  <si>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</si>
  <si>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</si>
  <si>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</si>
  <si>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</si>
  <si>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</si>
  <si>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</si>
  <si>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</si>
  <si>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</si>
  <si>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</si>
  <si>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</si>
  <si>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</si>
  <si>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</si>
  <si>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</si>
  <si>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</si>
  <si>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</si>
  <si>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</si>
  <si>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</si>
  <si>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</si>
  <si>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</si>
  <si>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</si>
  <si>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</si>
  <si>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</si>
  <si>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</si>
  <si>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</si>
  <si>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</si>
  <si>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</si>
  <si>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</si>
  <si>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</si>
  <si>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</si>
  <si>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</si>
  <si>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</si>
  <si>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</si>
  <si>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</si>
  <si>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</si>
  <si>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</si>
  <si>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</si>
  <si>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</si>
  <si>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</si>
  <si>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</si>
  <si>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</si>
  <si>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</si>
  <si>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</si>
  <si>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</si>
  <si>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</si>
  <si>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</si>
  <si>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</si>
  <si>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</si>
  <si>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</si>
  <si>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</si>
  <si>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</si>
  <si>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</si>
  <si>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</si>
  <si>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</si>
  <si>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</si>
  <si>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</si>
  <si>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</si>
  <si>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</si>
  <si>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</si>
  <si>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</si>
  <si>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</si>
  <si>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</si>
  <si>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</si>
  <si>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</si>
  <si>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</si>
  <si>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</si>
  <si>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</si>
  <si>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</si>
  <si>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</si>
  <si>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</si>
  <si>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</si>
  <si>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</si>
  <si>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</si>
  <si>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</si>
  <si>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</si>
  <si>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</si>
  <si>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</si>
  <si>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</si>
  <si>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</si>
  <si>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</si>
  <si>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</si>
  <si>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</si>
  <si>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</si>
  <si>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</si>
  <si>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</si>
  <si>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</si>
  <si>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</si>
  <si>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</si>
  <si>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</si>
  <si>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</si>
  <si>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</si>
  <si>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</si>
  <si>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</si>
  <si>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</si>
  <si>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</si>
  <si>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</si>
  <si>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</si>
  <si>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</si>
  <si>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</si>
  <si>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</si>
  <si>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</si>
  <si>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</si>
  <si>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</si>
  <si>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</si>
  <si>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</si>
  <si>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</si>
  <si>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</si>
  <si>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</si>
  <si>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</si>
  <si>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</si>
  <si>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</si>
  <si>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</si>
  <si>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</si>
  <si>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</si>
  <si>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</si>
  <si>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</si>
  <si>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</si>
  <si>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</si>
  <si>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</si>
  <si>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</si>
  <si>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</si>
  <si>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</si>
  <si>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</si>
  <si>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</si>
  <si>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</si>
  <si>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</si>
  <si>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</si>
  <si>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</si>
  <si>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</si>
  <si>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</si>
  <si>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</si>
  <si>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</si>
  <si>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</si>
  <si>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</si>
  <si>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</si>
  <si>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</si>
  <si>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</si>
  <si>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</si>
  <si>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</si>
  <si>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</si>
  <si>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</si>
  <si>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</si>
  <si>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</si>
  <si>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</si>
  <si>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</si>
  <si>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</si>
  <si>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</si>
  <si>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</si>
  <si>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</si>
  <si>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</si>
  <si>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</si>
  <si>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</si>
  <si>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</si>
  <si>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</si>
  <si>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</si>
  <si>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</si>
  <si>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</si>
  <si>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</si>
  <si>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</si>
  <si>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</si>
  <si>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</si>
  <si>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</si>
  <si>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</si>
  <si>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</si>
  <si>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</si>
  <si>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</si>
  <si>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</si>
  <si>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</si>
  <si>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</si>
  <si>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</si>
  <si>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</si>
  <si>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</si>
  <si>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</si>
  <si>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</si>
  <si>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</si>
  <si>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</si>
  <si>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</si>
  <si>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</si>
  <si>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</si>
  <si>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</si>
  <si>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</si>
  <si>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</si>
  <si>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</si>
  <si>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</si>
  <si>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</si>
  <si>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</si>
  <si>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</si>
  <si>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</si>
  <si>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</si>
  <si>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</si>
  <si>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</si>
  <si>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</si>
  <si>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</si>
  <si>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</si>
  <si>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</si>
  <si>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</si>
  <si>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</si>
  <si>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</si>
  <si>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</si>
  <si>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</si>
  <si>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</si>
  <si>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</si>
  <si>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</si>
  <si>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</si>
  <si>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</si>
  <si>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</si>
  <si>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</si>
  <si>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</si>
  <si>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</si>
  <si>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</si>
  <si>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</si>
  <si>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</si>
  <si>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</si>
  <si>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</si>
  <si>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</si>
  <si>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</si>
  <si>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</si>
  <si>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</si>
  <si>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</si>
  <si>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</si>
  <si>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</si>
  <si>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</si>
  <si>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</si>
  <si>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</si>
  <si>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</si>
  <si>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</si>
  <si>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</si>
  <si>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</si>
  <si>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</si>
  <si>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</si>
  <si>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</si>
  <si>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</si>
  <si>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</si>
  <si>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</si>
  <si>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</si>
  <si>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</si>
  <si>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</si>
  <si>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</si>
  <si>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</si>
  <si>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</si>
  <si>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</si>
  <si>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</si>
  <si>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</si>
  <si>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</si>
  <si>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</si>
  <si>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</si>
  <si>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</si>
  <si>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</si>
  <si>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</si>
  <si>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</si>
  <si>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</si>
  <si>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</si>
  <si>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</si>
  <si>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</si>
  <si>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</si>
  <si>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</si>
  <si>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</si>
  <si>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</si>
  <si>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</si>
  <si>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</si>
  <si>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</si>
  <si>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</si>
  <si>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</si>
  <si>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</si>
  <si>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</si>
  <si>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</si>
  <si>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</si>
  <si>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</si>
  <si>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</si>
  <si>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</si>
  <si>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</si>
  <si>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</si>
  <si>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</si>
  <si>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</si>
  <si>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</si>
  <si>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</si>
  <si>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</si>
  <si>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</si>
  <si>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</si>
  <si>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</si>
  <si>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</si>
  <si>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</si>
  <si>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</si>
  <si>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</si>
  <si>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</si>
  <si>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</si>
  <si>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</si>
  <si>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</si>
  <si>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</si>
  <si>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</si>
  <si>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</si>
  <si>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</si>
  <si>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</si>
  <si>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</si>
  <si>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</si>
  <si>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</si>
  <si>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</si>
  <si>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</si>
  <si>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</si>
  <si>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</si>
  <si>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</si>
  <si>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</si>
  <si>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</si>
  <si>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</si>
  <si>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</si>
  <si>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</si>
  <si>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</si>
  <si>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</si>
  <si>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</si>
  <si>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</si>
  <si>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</si>
  <si>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</si>
  <si>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</si>
  <si>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</si>
  <si>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</si>
  <si>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</si>
  <si>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</si>
  <si>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</si>
  <si>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</si>
  <si>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</si>
  <si>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</si>
  <si>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</si>
  <si>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</si>
  <si>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</si>
  <si>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</si>
  <si>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</si>
  <si>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</si>
  <si>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</si>
  <si>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</si>
  <si>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</si>
  <si>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</si>
  <si>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</si>
  <si>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</si>
  <si>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</si>
  <si>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</si>
  <si>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</si>
  <si>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</si>
  <si>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</si>
  <si>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</si>
  <si>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</si>
  <si>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</si>
  <si>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</si>
  <si>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</si>
  <si>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</si>
  <si>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</si>
  <si>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</si>
  <si>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</si>
  <si>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</si>
  <si>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</si>
  <si>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</si>
  <si>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</si>
  <si>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</si>
  <si>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</si>
  <si>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</si>
  <si>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</si>
  <si>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</si>
  <si>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</si>
  <si>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</si>
  <si>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</si>
  <si>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</si>
  <si>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</si>
  <si>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</si>
  <si>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</si>
  <si>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</si>
  <si>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</si>
  <si>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</si>
  <si>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</si>
  <si>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</si>
  <si>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</si>
  <si>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</si>
  <si>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</si>
  <si>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</si>
  <si>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</si>
  <si>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</si>
  <si>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</si>
  <si>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</si>
  <si>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</si>
  <si>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</si>
  <si>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</si>
  <si>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</si>
  <si>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</si>
  <si>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</si>
  <si>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</si>
  <si>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</si>
  <si>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</si>
  <si>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</si>
  <si>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</si>
  <si>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</si>
  <si>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</si>
  <si>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</si>
  <si>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</si>
  <si>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</si>
  <si>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</si>
  <si>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</si>
  <si>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</si>
  <si>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</si>
  <si>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</si>
  <si>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</si>
  <si>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</si>
  <si>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</si>
  <si>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</si>
  <si>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</si>
  <si>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</si>
  <si>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</si>
  <si>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</si>
  <si>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</si>
  <si>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</si>
  <si>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</si>
  <si>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</si>
  <si>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</si>
  <si>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</si>
  <si>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</si>
  <si>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</si>
  <si>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</si>
  <si>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</si>
  <si>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</si>
  <si>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</si>
  <si>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</si>
  <si>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</si>
  <si>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</si>
  <si>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</si>
  <si>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</si>
  <si>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</si>
  <si>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</si>
  <si>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</si>
  <si>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</si>
  <si>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</si>
  <si>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</si>
  <si>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</si>
  <si>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</si>
  <si>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</si>
  <si>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</si>
  <si>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</si>
  <si>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</si>
  <si>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</si>
  <si>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</si>
  <si>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</si>
  <si>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</si>
  <si>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</si>
  <si>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</si>
  <si>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</si>
  <si>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</si>
  <si>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</si>
  <si>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</si>
  <si>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</si>
  <si>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</si>
  <si>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</si>
  <si>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</si>
  <si>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</si>
  <si>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</si>
  <si>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</si>
  <si>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</si>
  <si>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</si>
  <si>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</si>
  <si>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</si>
  <si>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</si>
  <si>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</si>
  <si>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</si>
  <si>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</si>
  <si>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</si>
  <si>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</si>
  <si>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</si>
  <si>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</si>
  <si>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</si>
  <si>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</si>
  <si>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</si>
  <si>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</si>
  <si>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</si>
  <si>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</si>
  <si>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</si>
  <si>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</si>
  <si>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</si>
  <si>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</si>
  <si>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</si>
  <si>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</si>
  <si>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</si>
  <si>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</si>
  <si>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</si>
  <si>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</si>
  <si>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</si>
  <si>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</si>
  <si>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</si>
  <si>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</si>
  <si>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</si>
  <si>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</si>
  <si>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</si>
  <si>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</si>
  <si>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</si>
  <si>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</si>
  <si>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</si>
  <si>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</si>
  <si>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</si>
  <si>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</si>
  <si>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</si>
  <si>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</si>
  <si>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</si>
  <si>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</si>
  <si>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</si>
  <si>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</si>
  <si>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</si>
  <si>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</si>
  <si>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</si>
  <si>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</si>
  <si>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</si>
  <si>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</si>
  <si>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</si>
  <si>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</si>
  <si>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</si>
  <si>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</si>
  <si>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</si>
  <si>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</si>
  <si>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</si>
  <si>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</si>
  <si>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</si>
  <si>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</si>
  <si>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</si>
  <si>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</si>
  <si>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</si>
  <si>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</si>
  <si>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</si>
  <si>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</si>
  <si>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</si>
  <si>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</si>
  <si>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</si>
  <si>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</si>
  <si>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</si>
  <si>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</si>
  <si>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</si>
  <si>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</si>
  <si>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</si>
  <si>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</si>
  <si>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</si>
  <si>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</si>
  <si>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</si>
  <si>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</si>
  <si>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</si>
  <si>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</si>
  <si>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</si>
  <si>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</si>
  <si>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</si>
  <si>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</si>
  <si>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</si>
  <si>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</si>
  <si>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</si>
  <si>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</si>
  <si>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</si>
  <si>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</si>
  <si>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</si>
  <si>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</si>
  <si>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</si>
  <si>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</si>
  <si>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</si>
  <si>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</si>
  <si>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</si>
  <si>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</si>
  <si>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</si>
  <si>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</si>
  <si>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</si>
  <si>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</si>
  <si>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</si>
  <si>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</si>
  <si>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</si>
  <si>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</si>
  <si>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</si>
  <si>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</si>
  <si>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</si>
  <si>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</si>
  <si>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</si>
  <si>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</si>
  <si>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</si>
  <si>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</si>
  <si>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</si>
  <si>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</si>
  <si>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</si>
  <si>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</si>
  <si>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</si>
  <si>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</si>
  <si>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</si>
  <si>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</si>
  <si>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</si>
  <si>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</si>
  <si>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</si>
  <si>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</si>
  <si>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</si>
  <si>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</si>
  <si>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</si>
  <si>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</si>
  <si>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</si>
  <si>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</si>
  <si>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</si>
  <si>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</si>
  <si>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</si>
  <si>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</si>
  <si>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</si>
  <si>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</si>
  <si>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</si>
  <si>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</si>
  <si>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</si>
  <si>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</si>
  <si>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</si>
  <si>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</si>
  <si>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</si>
  <si>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</si>
  <si>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</si>
  <si>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</si>
  <si>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</si>
  <si>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</si>
  <si>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</si>
  <si>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</si>
  <si>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</si>
  <si>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</si>
  <si>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</si>
  <si>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</si>
  <si>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</si>
  <si>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</si>
  <si>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</si>
  <si>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</si>
  <si>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</si>
  <si>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</si>
  <si>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</si>
  <si>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</si>
  <si>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</si>
  <si>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</si>
  <si>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</si>
  <si>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</si>
  <si>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</si>
  <si>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</si>
  <si>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</si>
  <si>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</si>
  <si>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</si>
  <si>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</si>
  <si>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</si>
  <si>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</si>
  <si>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</si>
  <si>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</si>
  <si>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</si>
  <si>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</si>
  <si>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</si>
  <si>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</si>
  <si>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</si>
  <si>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</si>
  <si>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</si>
  <si>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</si>
  <si>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</si>
  <si>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</si>
  <si>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</si>
  <si>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</si>
  <si>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</si>
  <si>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</si>
  <si>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</si>
  <si>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</si>
  <si>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</si>
  <si>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</si>
  <si>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</si>
  <si>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</si>
  <si>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</si>
  <si>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</si>
  <si>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</si>
  <si>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</si>
  <si>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</si>
  <si>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</si>
  <si>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</si>
  <si>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</si>
  <si>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</si>
  <si>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</si>
  <si>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</si>
  <si>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</si>
  <si>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</si>
  <si>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</si>
  <si>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</si>
  <si>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</si>
  <si>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</si>
  <si>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</si>
  <si>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</si>
  <si>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</si>
  <si>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</si>
  <si>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</si>
  <si>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</si>
  <si>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</si>
  <si>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</si>
  <si>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</si>
  <si>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</si>
  <si>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</si>
  <si>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</si>
  <si>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</si>
  <si>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</si>
  <si>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</si>
  <si>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</si>
  <si>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</si>
  <si>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</si>
  <si>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</si>
  <si>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</si>
  <si>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</si>
  <si>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</si>
  <si>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</si>
  <si>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</si>
  <si>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</si>
  <si>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</si>
  <si>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</si>
  <si>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</si>
  <si>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</si>
  <si>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</si>
  <si>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</si>
  <si>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</si>
  <si>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</si>
  <si>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</si>
  <si>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</si>
  <si>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</si>
  <si>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</si>
  <si>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</si>
  <si>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</si>
  <si>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</si>
  <si>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</si>
  <si>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</si>
  <si>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</si>
  <si>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</si>
  <si>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</si>
  <si>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</si>
  <si>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</si>
  <si>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</si>
  <si>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</si>
  <si>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</si>
  <si>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</si>
  <si>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</si>
  <si>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</si>
  <si>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</si>
  <si>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</si>
  <si>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</si>
  <si>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</si>
  <si>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</si>
  <si>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</si>
  <si>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</si>
  <si>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</si>
  <si>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</si>
  <si>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</si>
  <si>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</si>
  <si>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</si>
  <si>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</si>
  <si>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</si>
  <si>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</si>
  <si>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</si>
  <si>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</si>
  <si>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</si>
  <si>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</si>
  <si>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</si>
  <si>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</si>
  <si>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</si>
  <si>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</si>
  <si>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</si>
  <si>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</si>
  <si>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</si>
  <si>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</si>
  <si>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</si>
  <si>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</si>
  <si>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</si>
  <si>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</si>
  <si>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</si>
  <si>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</si>
  <si>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</si>
  <si>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</si>
  <si>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</si>
  <si>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</si>
  <si>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</si>
  <si>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</si>
  <si>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</si>
  <si>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</si>
  <si>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</si>
  <si>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</si>
  <si>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</si>
  <si>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</si>
  <si>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</si>
  <si>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</si>
  <si>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</si>
  <si>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</si>
  <si>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</si>
  <si>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</si>
  <si>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</si>
  <si>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</si>
  <si>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</si>
  <si>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</si>
  <si>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</si>
  <si>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</si>
  <si>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</si>
  <si>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</si>
  <si>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</si>
  <si>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</si>
  <si>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</si>
  <si>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</si>
  <si>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</si>
  <si>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</si>
  <si>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</si>
  <si>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</si>
  <si>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</si>
  <si>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</si>
  <si>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</si>
  <si>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</si>
  <si>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</si>
  <si>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</si>
  <si>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</si>
  <si>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</si>
  <si>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</si>
  <si>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</si>
  <si>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</si>
  <si>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</si>
  <si>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</si>
  <si>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</si>
  <si>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</si>
  <si>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</si>
  <si>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</si>
  <si>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</si>
  <si>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</si>
  <si>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</si>
  <si>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</si>
  <si>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</si>
  <si>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</si>
  <si>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</si>
  <si>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</si>
  <si>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</si>
  <si>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</si>
  <si>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</si>
  <si>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</si>
  <si>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</si>
  <si>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</si>
  <si>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</si>
  <si>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</si>
  <si>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</si>
  <si>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</si>
  <si>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</si>
  <si>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</si>
  <si>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</si>
  <si>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</si>
  <si>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</si>
  <si>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</si>
  <si>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</si>
  <si>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</si>
  <si>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</si>
  <si>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</si>
  <si>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</si>
  <si>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</si>
  <si>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</si>
  <si>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</si>
  <si>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</si>
  <si>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</si>
  <si>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</si>
  <si>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</si>
  <si>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</si>
  <si>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</si>
  <si>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</si>
  <si>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</si>
  <si>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</si>
  <si>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</si>
  <si>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</si>
  <si>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</si>
  <si>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</si>
  <si>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</si>
  <si>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</si>
  <si>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</si>
  <si>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</si>
  <si>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</si>
  <si>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</si>
  <si>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</si>
  <si>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</si>
  <si>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</si>
  <si>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</si>
  <si>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</si>
  <si>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</si>
  <si>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</si>
  <si>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</si>
  <si>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</si>
  <si>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</si>
  <si>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</si>
  <si>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</si>
  <si>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</si>
  <si>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</si>
  <si>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</si>
  <si>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</si>
  <si>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</si>
  <si>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</si>
  <si>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</si>
  <si>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</si>
  <si>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</si>
  <si>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</si>
  <si>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</si>
  <si>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</si>
  <si>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</si>
  <si>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</si>
  <si>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</si>
  <si>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</si>
  <si>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</si>
  <si>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</si>
  <si>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</si>
  <si>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</si>
  <si>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</si>
  <si>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</si>
  <si>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</si>
  <si>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</si>
  <si>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</si>
  <si>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</si>
  <si>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</si>
  <si>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</si>
  <si>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</si>
  <si>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</si>
  <si>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</si>
  <si>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</si>
  <si>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</si>
  <si>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</si>
  <si>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</si>
  <si>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</si>
  <si>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</si>
  <si>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</si>
  <si>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</si>
  <si>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</si>
  <si>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</si>
  <si>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</si>
  <si>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</si>
  <si>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</si>
  <si>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</si>
  <si>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</si>
  <si>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</si>
  <si>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</si>
  <si>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</si>
  <si>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</si>
  <si>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</si>
  <si>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</si>
  <si>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</si>
  <si>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</si>
  <si>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</si>
  <si>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</si>
  <si>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</si>
  <si>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</si>
  <si>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</si>
  <si>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</si>
  <si>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</si>
  <si>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</si>
  <si>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</si>
  <si>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</si>
  <si>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</si>
  <si>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</si>
  <si>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</si>
  <si>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</si>
  <si>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</si>
  <si>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</si>
  <si>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</si>
  <si>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</si>
  <si>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</si>
  <si>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</si>
  <si>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</si>
  <si>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</si>
  <si>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</si>
  <si>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</si>
  <si>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</si>
  <si>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</si>
  <si>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</si>
  <si>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</si>
  <si>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</si>
  <si>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</si>
  <si>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</si>
  <si>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</si>
  <si>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</si>
  <si>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</si>
  <si>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</si>
  <si>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</si>
  <si>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</si>
  <si>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</si>
  <si>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</si>
  <si>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</si>
  <si>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</si>
  <si>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</si>
  <si>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</si>
  <si>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</si>
  <si>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</si>
  <si>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</si>
  <si>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</si>
  <si>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</si>
  <si>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</si>
  <si>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</si>
  <si>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</si>
  <si>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</si>
  <si>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</si>
  <si>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</si>
  <si>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</si>
  <si>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</si>
  <si>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</si>
  <si>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</si>
  <si>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</si>
  <si>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</si>
  <si>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</si>
  <si>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</si>
  <si>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</si>
  <si>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</si>
  <si>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</si>
  <si>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</si>
  <si>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</si>
  <si>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</si>
  <si>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</si>
  <si>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</si>
  <si>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</si>
  <si>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</si>
  <si>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</si>
  <si>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</si>
  <si>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</si>
  <si>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</si>
  <si>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</si>
  <si>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</si>
  <si>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</si>
  <si>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</si>
  <si>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</si>
  <si>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</si>
  <si>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</si>
  <si>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</si>
  <si>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</si>
  <si>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</si>
  <si>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</si>
  <si>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</si>
  <si>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</si>
  <si>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</si>
  <si>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</si>
  <si>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</si>
  <si>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</si>
  <si>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</si>
  <si>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</si>
  <si>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</si>
  <si>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</si>
  <si>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</si>
  <si>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</si>
  <si>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</si>
  <si>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</si>
  <si>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</si>
  <si>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</si>
  <si>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</si>
  <si>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</si>
  <si>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</si>
  <si>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</si>
  <si>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</si>
  <si>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</si>
  <si>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</si>
  <si>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</si>
  <si>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</si>
  <si>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</si>
  <si>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</si>
  <si>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</si>
  <si>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</si>
  <si>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</si>
  <si>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</si>
  <si>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</si>
  <si>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</si>
  <si>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</si>
  <si>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</si>
  <si>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</si>
  <si>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</si>
  <si>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</si>
  <si>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</si>
  <si>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</si>
  <si>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</si>
  <si>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</si>
  <si>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</si>
  <si>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</si>
  <si>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</si>
  <si>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</si>
  <si>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</si>
  <si>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</si>
  <si>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</si>
  <si>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</si>
  <si>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</si>
  <si>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</si>
  <si>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</si>
  <si>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</si>
  <si>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</si>
  <si>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</si>
  <si>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</si>
  <si>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</si>
  <si>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</si>
  <si>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</si>
  <si>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</si>
  <si>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</si>
  <si>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</si>
  <si>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</si>
  <si>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</si>
  <si>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</si>
  <si>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</si>
  <si>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</si>
  <si>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</si>
  <si>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</si>
  <si>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</si>
  <si>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</si>
  <si>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</si>
  <si>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</si>
  <si>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</si>
  <si>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</si>
  <si>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</si>
  <si>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</si>
  <si>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</si>
  <si>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</si>
  <si>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</si>
  <si>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</si>
  <si>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</si>
  <si>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</si>
  <si>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</si>
  <si>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</si>
  <si>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</si>
  <si>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</si>
  <si>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</si>
  <si>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</si>
  <si>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</si>
  <si>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</si>
  <si>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</si>
  <si>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</si>
  <si>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</si>
  <si>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</si>
  <si>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</si>
  <si>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</si>
  <si>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</si>
  <si>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</si>
  <si>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</si>
  <si>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</si>
  <si>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</si>
  <si>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</si>
  <si>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</si>
  <si>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</si>
  <si>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</si>
  <si>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</si>
  <si>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</si>
  <si>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</si>
  <si>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</si>
  <si>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</si>
  <si>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</si>
  <si>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</si>
  <si>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</si>
  <si>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</si>
  <si>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</si>
  <si>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</si>
  <si>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</si>
  <si>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</si>
  <si>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</si>
  <si>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</si>
  <si>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</si>
  <si>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</si>
  <si>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</si>
  <si>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</si>
  <si>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</si>
  <si>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</si>
  <si>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</si>
  <si>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</si>
  <si>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</si>
  <si>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</si>
  <si>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</si>
  <si>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</si>
  <si>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</si>
  <si>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</si>
  <si>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</si>
  <si>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</si>
  <si>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</si>
  <si>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</si>
  <si>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</si>
  <si>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</si>
  <si>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</si>
  <si>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</si>
  <si>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</si>
  <si>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</si>
  <si>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</si>
  <si>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</si>
  <si>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</si>
  <si>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</si>
  <si>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</si>
  <si>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</si>
  <si>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</si>
  <si>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</si>
  <si>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</si>
  <si>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</si>
  <si>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</si>
  <si>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</si>
  <si>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</si>
  <si>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</si>
  <si>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</si>
  <si>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</si>
  <si>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</si>
  <si>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</si>
  <si>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</si>
  <si>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</si>
  <si>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</si>
  <si>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</si>
  <si>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</si>
  <si>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</si>
  <si>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</si>
  <si>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</si>
  <si>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</si>
  <si>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</si>
  <si>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</si>
  <si>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</si>
  <si>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</si>
  <si>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</si>
  <si>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</si>
  <si>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</si>
  <si>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</si>
  <si>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</si>
  <si>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</si>
  <si>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</si>
  <si>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</si>
  <si>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</si>
  <si>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</si>
  <si>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</si>
  <si>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</si>
  <si>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</si>
  <si>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</si>
  <si>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</si>
  <si>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</si>
  <si>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</si>
  <si>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</si>
  <si>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</si>
  <si>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</si>
  <si>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</si>
  <si>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</si>
  <si>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</si>
  <si>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</si>
  <si>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</si>
  <si>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</si>
  <si>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</si>
  <si>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</si>
  <si>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</si>
  <si>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</si>
  <si>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</si>
  <si>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</si>
  <si>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</si>
  <si>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</si>
  <si>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</si>
  <si>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</si>
  <si>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</si>
  <si>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</si>
  <si>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</si>
  <si>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</si>
  <si>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</si>
  <si>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</si>
  <si>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</si>
  <si>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</si>
  <si>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</si>
  <si>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</si>
  <si>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</si>
  <si>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</si>
  <si>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</si>
  <si>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</si>
  <si>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</si>
  <si>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</si>
  <si>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</si>
  <si>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</si>
  <si>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</si>
  <si>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</si>
  <si>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</si>
  <si>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</si>
  <si>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</si>
  <si>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</si>
  <si>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</si>
  <si>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</si>
  <si>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</si>
  <si>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</si>
  <si>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</si>
  <si>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</si>
  <si>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</si>
  <si>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</si>
  <si>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</si>
  <si>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</si>
  <si>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</si>
  <si>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</si>
  <si>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</si>
  <si>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</si>
  <si>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</si>
  <si>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</si>
  <si>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</si>
  <si>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</si>
  <si>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</si>
  <si>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</si>
  <si>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</si>
  <si>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</si>
  <si>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</si>
  <si>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</si>
  <si>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</si>
  <si>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</si>
  <si>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</si>
  <si>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</si>
  <si>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</si>
  <si>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</si>
  <si>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</si>
  <si>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</si>
  <si>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</si>
  <si>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</si>
  <si>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</si>
  <si>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</si>
  <si>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</si>
  <si>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</si>
  <si>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</si>
  <si>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</si>
  <si>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</si>
  <si>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</si>
  <si>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</si>
  <si>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</si>
  <si>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</si>
  <si>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</si>
  <si>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</si>
  <si>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</si>
  <si>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</si>
  <si>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</si>
  <si>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</si>
  <si>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</si>
  <si>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</si>
  <si>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</si>
  <si>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</si>
  <si>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</si>
  <si>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</si>
  <si>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</si>
  <si>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</si>
  <si>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</si>
  <si>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</si>
  <si>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</si>
  <si>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</si>
  <si>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</si>
  <si>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</si>
  <si>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</si>
  <si>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</si>
  <si>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</si>
  <si>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</si>
  <si>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</si>
  <si>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</si>
  <si>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</si>
  <si>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</si>
  <si>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</si>
  <si>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</si>
  <si>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</si>
  <si>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</si>
  <si>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</si>
  <si>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</si>
  <si>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</si>
  <si>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</si>
  <si>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</si>
  <si>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</si>
  <si>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</si>
  <si>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</si>
  <si>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</si>
  <si>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</si>
  <si>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</si>
  <si>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</si>
  <si>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</si>
  <si>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</si>
  <si>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</si>
  <si>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</si>
  <si>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</si>
  <si>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</si>
  <si>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</si>
  <si>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</si>
  <si>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</si>
  <si>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</si>
  <si>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</si>
  <si>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</si>
  <si>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</si>
  <si>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</si>
  <si>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</si>
  <si>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</si>
  <si>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</si>
  <si>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</si>
  <si>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</si>
  <si>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</si>
  <si>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</si>
  <si>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</si>
  <si>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</si>
  <si>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</si>
  <si>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</si>
  <si>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</si>
  <si>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</si>
  <si>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</si>
  <si>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</si>
  <si>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</si>
  <si>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</si>
  <si>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</si>
  <si>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</si>
  <si>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</si>
  <si>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</si>
  <si>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</si>
  <si>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</si>
  <si>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</si>
  <si>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</si>
  <si>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</si>
  <si>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</si>
  <si>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</si>
  <si>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</si>
  <si>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</si>
  <si>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</si>
  <si>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</si>
  <si>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</si>
  <si>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</si>
  <si>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</si>
  <si>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</si>
  <si>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</si>
  <si>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</si>
  <si>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</si>
  <si>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</si>
  <si>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</si>
  <si>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</si>
  <si>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</si>
  <si>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</si>
  <si>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</si>
  <si>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</si>
  <si>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</si>
  <si>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</si>
  <si>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</si>
  <si>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</si>
  <si>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</si>
  <si>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</si>
  <si>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</si>
  <si>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</si>
  <si>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</si>
  <si>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</si>
  <si>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</si>
  <si>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</si>
  <si>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</si>
  <si>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</si>
  <si>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</si>
  <si>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</si>
  <si>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</si>
  <si>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</si>
  <si>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</si>
  <si>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</si>
  <si>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</si>
  <si>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</si>
  <si>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</si>
  <si>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</si>
  <si>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</si>
  <si>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</si>
  <si>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</si>
  <si>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</si>
  <si>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</si>
  <si>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</si>
  <si>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</si>
  <si>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</si>
  <si>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</si>
  <si>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</si>
  <si>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</si>
  <si>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</si>
  <si>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</si>
  <si>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</si>
  <si>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</si>
  <si>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</si>
  <si>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</si>
  <si>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</si>
  <si>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</si>
  <si>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</si>
  <si>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</si>
  <si>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</si>
  <si>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</si>
  <si>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</si>
  <si>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</si>
  <si>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</si>
  <si>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</si>
  <si>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</si>
  <si>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</si>
  <si>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</si>
  <si>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</si>
  <si>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</si>
  <si>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</si>
  <si>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</si>
  <si>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</si>
  <si>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</si>
  <si>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</si>
  <si>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</si>
  <si>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</si>
  <si>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</si>
  <si>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</si>
  <si>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</si>
  <si>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</si>
  <si>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</si>
  <si>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</si>
  <si>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</si>
  <si>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</si>
  <si>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</si>
  <si>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</si>
  <si>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</si>
  <si>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</si>
  <si>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</si>
  <si>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</si>
  <si>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</si>
  <si>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</si>
  <si>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</si>
  <si>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</si>
  <si>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</si>
  <si>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</si>
  <si>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</si>
  <si>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</si>
  <si>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</si>
  <si>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</si>
  <si>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</si>
  <si>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</si>
  <si>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</si>
  <si>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</si>
  <si>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</si>
  <si>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</si>
  <si>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</si>
  <si>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</si>
  <si>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</si>
  <si>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</si>
  <si>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</si>
  <si>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</si>
  <si>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</si>
  <si>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</si>
  <si>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</si>
  <si>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</si>
  <si>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</si>
  <si>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</si>
  <si>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</si>
  <si>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</si>
  <si>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</si>
  <si>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</si>
  <si>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</si>
  <si>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</si>
  <si>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</si>
  <si>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</si>
  <si>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</si>
  <si>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</si>
  <si>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</si>
  <si>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</si>
  <si>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</si>
  <si>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</si>
  <si>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</si>
  <si>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</si>
  <si>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</si>
  <si>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</si>
  <si>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</si>
  <si>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</si>
  <si>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</si>
  <si>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</si>
  <si>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</si>
  <si>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</si>
  <si>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</si>
  <si>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</si>
  <si>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</si>
  <si>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</si>
  <si>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</si>
  <si>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</si>
  <si>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</si>
  <si>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</si>
  <si>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</si>
  <si>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</si>
  <si>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</si>
  <si>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</si>
  <si>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</si>
  <si>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</si>
  <si>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</si>
  <si>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</si>
  <si>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</si>
  <si>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</si>
  <si>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</si>
  <si>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</si>
  <si>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</si>
  <si>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</si>
  <si>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</si>
  <si>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</si>
  <si>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</si>
  <si>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</si>
  <si>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</si>
  <si>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</si>
  <si>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</si>
  <si>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</si>
  <si>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</si>
  <si>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</si>
  <si>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</si>
  <si>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</si>
  <si>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</si>
  <si>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</si>
  <si>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</si>
  <si>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</si>
  <si>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</si>
  <si>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</si>
  <si>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</si>
  <si>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</si>
  <si>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</si>
  <si>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</si>
  <si>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</si>
  <si>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</si>
  <si>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</si>
  <si>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</si>
  <si>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</si>
  <si>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</si>
  <si>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</si>
  <si>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</si>
  <si>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</si>
  <si>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</si>
  <si>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</si>
  <si>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</si>
  <si>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</si>
  <si>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</si>
  <si>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</si>
  <si>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</si>
  <si>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</si>
  <si>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</si>
  <si>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</si>
  <si>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</si>
  <si>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</si>
  <si>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</si>
  <si>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</si>
  <si>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</si>
  <si>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</si>
  <si>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</si>
  <si>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</si>
  <si>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</si>
  <si>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</si>
  <si>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</si>
  <si>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</si>
  <si>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</si>
  <si>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</si>
  <si>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</si>
  <si>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</si>
  <si>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</si>
  <si>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</si>
  <si>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</si>
  <si>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</si>
  <si>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</si>
  <si>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</si>
  <si>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</si>
  <si>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</si>
  <si>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</si>
  <si>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</si>
  <si>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</si>
  <si>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</si>
  <si>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</si>
  <si>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</si>
  <si>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</si>
  <si>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</si>
  <si>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</si>
  <si>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</si>
  <si>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</si>
  <si>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</si>
  <si>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</si>
  <si>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</si>
  <si>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</si>
  <si>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</si>
  <si>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</si>
  <si>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</si>
  <si>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</si>
  <si>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</si>
  <si>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</si>
  <si>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</si>
  <si>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</si>
  <si>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</si>
  <si>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</si>
  <si>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</si>
  <si>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</si>
  <si>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</si>
  <si>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</si>
  <si>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</si>
  <si>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</si>
  <si>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</si>
  <si>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</si>
  <si>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</si>
  <si>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</si>
  <si>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</si>
  <si>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</si>
  <si>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</si>
  <si>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</si>
  <si>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</si>
  <si>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</si>
  <si>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</si>
  <si>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</si>
  <si>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</si>
  <si>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</si>
  <si>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</si>
  <si>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</si>
  <si>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</si>
  <si>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</si>
  <si>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</si>
  <si>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</si>
  <si>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</si>
  <si>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</si>
  <si>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</si>
  <si>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</si>
  <si>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</si>
  <si>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</si>
  <si>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</si>
  <si>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</si>
  <si>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</si>
  <si>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</si>
  <si>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</si>
  <si>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</si>
  <si>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</si>
  <si>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</si>
  <si>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</si>
  <si>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</si>
  <si>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</si>
  <si>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</si>
  <si>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</si>
  <si>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</si>
  <si>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</si>
  <si>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</si>
  <si>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</si>
  <si>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</si>
  <si>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</si>
  <si>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</si>
  <si>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</si>
  <si>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</si>
  <si>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</si>
  <si>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</si>
  <si>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</si>
  <si>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</si>
  <si>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</si>
  <si>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</si>
  <si>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</si>
  <si>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</si>
  <si>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</si>
  <si>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</si>
  <si>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</si>
  <si>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</si>
  <si>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</si>
  <si>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</si>
  <si>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</si>
  <si>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</si>
  <si>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</si>
  <si>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</si>
  <si>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</si>
  <si>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</si>
  <si>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</si>
  <si>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</si>
  <si>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</si>
  <si>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</si>
  <si>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</si>
  <si>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</si>
  <si>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</si>
  <si>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</si>
  <si>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</si>
  <si>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</si>
  <si>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</si>
  <si>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</si>
  <si>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</si>
  <si>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</si>
  <si>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</si>
  <si>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</si>
  <si>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</si>
  <si>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</si>
  <si>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</si>
  <si>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</si>
  <si>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</si>
  <si>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</si>
  <si>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</si>
  <si>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</si>
  <si>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</si>
  <si>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</si>
  <si>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</si>
  <si>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</si>
  <si>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</si>
  <si>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</si>
  <si>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</si>
  <si>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</si>
  <si>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</si>
  <si>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</si>
  <si>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</si>
  <si>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</si>
  <si>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</si>
  <si>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</si>
  <si>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</si>
  <si>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</si>
  <si>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</si>
  <si>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</si>
  <si>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</si>
  <si>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</si>
  <si>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</si>
  <si>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</si>
  <si>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</si>
  <si>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</si>
  <si>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</si>
  <si>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</si>
  <si>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</si>
  <si>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</si>
  <si>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</si>
  <si>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</si>
  <si>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</si>
  <si>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</si>
  <si>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</si>
  <si>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</si>
  <si>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</si>
  <si>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</si>
  <si>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</si>
  <si>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</si>
  <si>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</si>
  <si>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</si>
  <si>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</si>
  <si>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</si>
  <si>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</si>
  <si>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</si>
  <si>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</si>
  <si>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</si>
  <si>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</si>
  <si>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</si>
  <si>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</si>
  <si>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</si>
  <si>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</si>
  <si>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</si>
  <si>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</si>
  <si>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</si>
  <si>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</si>
  <si>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</si>
  <si>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</si>
  <si>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</si>
  <si>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</si>
  <si>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</si>
  <si>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</si>
  <si>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</si>
  <si>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</si>
  <si>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</si>
  <si>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</si>
  <si>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</si>
  <si>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</si>
  <si>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</si>
  <si>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</si>
  <si>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</si>
  <si>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</si>
  <si>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</si>
  <si>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</si>
  <si>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</si>
  <si>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</si>
  <si>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</si>
  <si>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</si>
  <si>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</si>
  <si>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</si>
  <si>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</si>
  <si>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</si>
  <si>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</si>
  <si>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</si>
  <si>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</si>
  <si>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</si>
  <si>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</si>
  <si>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</si>
  <si>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</si>
  <si>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</si>
  <si>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</si>
  <si>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</si>
  <si>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</si>
  <si>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</si>
  <si>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</si>
  <si>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</si>
  <si>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</si>
  <si>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</si>
  <si>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</si>
  <si>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</si>
  <si>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</si>
  <si>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</si>
  <si>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</si>
  <si>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</si>
  <si>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</si>
  <si>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</si>
  <si>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</si>
  <si>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</si>
  <si>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</si>
  <si>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</si>
  <si>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</si>
  <si>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</si>
  <si>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</si>
  <si>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</si>
  <si>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</si>
  <si>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</si>
  <si>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</si>
  <si>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</si>
  <si>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</si>
  <si>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</si>
  <si>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</si>
  <si>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</si>
  <si>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</si>
  <si>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</si>
  <si>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</si>
  <si>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</si>
  <si>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</si>
  <si>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</si>
  <si>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</si>
  <si>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</si>
  <si>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</si>
  <si>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</si>
  <si>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</si>
  <si>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</si>
  <si>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</si>
  <si>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</si>
  <si>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</si>
  <si>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</si>
  <si>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</si>
  <si>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</si>
  <si>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</si>
  <si>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</si>
  <si>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</si>
  <si>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</si>
  <si>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</si>
  <si>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</si>
  <si>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</si>
  <si>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</si>
  <si>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</si>
  <si>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</si>
  <si>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</si>
  <si>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</si>
  <si>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</si>
  <si>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</si>
  <si>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</si>
  <si>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</si>
  <si>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</si>
  <si>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</si>
  <si>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</si>
  <si>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</si>
  <si>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</si>
  <si>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</si>
  <si>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</si>
  <si>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</si>
  <si>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</si>
  <si>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</si>
  <si>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</si>
  <si>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</si>
  <si>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</si>
  <si>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</si>
  <si>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</si>
  <si>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</si>
  <si>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</si>
  <si>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</si>
  <si>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</si>
  <si>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</si>
  <si>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</si>
  <si>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</si>
  <si>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</si>
  <si>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</si>
  <si>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</si>
  <si>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</si>
  <si>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</si>
  <si>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</si>
  <si>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</si>
  <si>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</si>
  <si>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</si>
  <si>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</si>
  <si>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</si>
  <si>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</si>
  <si>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</si>
  <si>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</si>
  <si>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</si>
  <si>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</si>
  <si>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</si>
  <si>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</si>
  <si>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</si>
  <si>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</si>
  <si>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</si>
  <si>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</si>
  <si>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</si>
  <si>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</si>
  <si>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</si>
  <si>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</si>
  <si>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</si>
  <si>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</si>
  <si>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</si>
  <si>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</si>
  <si>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</si>
  <si>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</si>
  <si>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</si>
  <si>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</si>
  <si>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</si>
  <si>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</si>
  <si>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</si>
  <si>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</si>
  <si>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</si>
  <si>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</si>
  <si>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</si>
  <si>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</si>
  <si>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</si>
  <si>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</si>
  <si>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</si>
  <si>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</si>
  <si>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</si>
  <si>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</si>
  <si>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</si>
  <si>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</si>
  <si>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</si>
  <si>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</si>
  <si>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</si>
  <si>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</si>
  <si>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</si>
  <si>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</si>
  <si>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</si>
  <si>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</si>
  <si>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</si>
  <si>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</si>
  <si>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</si>
  <si>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</si>
  <si>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</si>
  <si>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</si>
  <si>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</si>
  <si>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</si>
  <si>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</si>
  <si>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</si>
  <si>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</si>
  <si>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</si>
  <si>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</si>
  <si>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</si>
  <si>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</si>
  <si>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</si>
  <si>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</si>
  <si>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</si>
  <si>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</si>
  <si>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</si>
  <si>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</si>
  <si>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</si>
  <si>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</si>
  <si>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</si>
  <si>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</si>
  <si>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</si>
  <si>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</si>
  <si>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</si>
  <si>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</si>
  <si>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</si>
  <si>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</si>
  <si>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</si>
  <si>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</si>
  <si>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</si>
  <si>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</si>
  <si>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</si>
  <si>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</si>
  <si>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</si>
  <si>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</si>
  <si>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</si>
  <si>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</si>
  <si>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</si>
  <si>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</si>
  <si>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</si>
  <si>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</si>
  <si>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</si>
  <si>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</si>
  <si>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</si>
  <si>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</si>
  <si>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</si>
  <si>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</si>
  <si>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</si>
  <si>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</si>
  <si>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</si>
  <si>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</si>
  <si>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</si>
  <si>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</si>
  <si>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</si>
  <si>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</si>
  <si>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</si>
  <si>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</si>
  <si>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</si>
  <si>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</si>
  <si>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</si>
  <si>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</si>
  <si>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</si>
  <si>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</si>
  <si>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</si>
  <si>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</si>
  <si>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</si>
  <si>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</si>
  <si>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</si>
  <si>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</si>
  <si>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</si>
  <si>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</si>
  <si>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</si>
  <si>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</si>
  <si>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</si>
  <si>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</si>
  <si>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</si>
  <si>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</si>
  <si>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</si>
  <si>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</si>
  <si>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</si>
  <si>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</si>
  <si>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</si>
  <si>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</si>
  <si>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</si>
  <si>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</si>
  <si>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</si>
  <si>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</si>
  <si>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</si>
  <si>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</si>
  <si>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</si>
  <si>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</si>
  <si>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</si>
  <si>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</si>
  <si>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</si>
  <si>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</si>
  <si>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</si>
  <si>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</si>
  <si>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</si>
  <si>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</si>
  <si>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</si>
  <si>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</si>
  <si>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</si>
  <si>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</si>
  <si>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</si>
  <si>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</si>
  <si>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</si>
  <si>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</si>
  <si>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</si>
  <si>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</si>
  <si>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</si>
  <si>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</si>
  <si>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</si>
  <si>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</si>
  <si>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</si>
  <si>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</si>
  <si>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</si>
  <si>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</si>
  <si>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</si>
  <si>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</si>
  <si>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</si>
  <si>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</si>
  <si>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</si>
  <si>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</si>
  <si>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</si>
  <si>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</si>
  <si>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</si>
  <si>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</si>
  <si>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</si>
  <si>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</si>
  <si>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</si>
  <si>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</si>
  <si>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</si>
  <si>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</si>
  <si>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</si>
  <si>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</si>
  <si>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</si>
  <si>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</si>
  <si>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</si>
  <si>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</si>
  <si>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</si>
  <si>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</si>
  <si>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</si>
  <si>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</si>
  <si>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</si>
  <si>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</si>
  <si>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</si>
  <si>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</si>
  <si>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</si>
  <si>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</si>
  <si>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</si>
  <si>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</si>
  <si>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</si>
  <si>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</si>
  <si>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</si>
  <si>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</si>
  <si>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</si>
  <si>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</si>
  <si>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</si>
  <si>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</si>
  <si>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</si>
  <si>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</si>
  <si>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</si>
  <si>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</si>
  <si>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</si>
  <si>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</si>
  <si>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</si>
  <si>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</si>
  <si>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</si>
  <si>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</si>
  <si>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</si>
  <si>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</si>
  <si>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</si>
  <si>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</si>
  <si>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</si>
  <si>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</si>
  <si>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</si>
  <si>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</si>
  <si>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</si>
  <si>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</si>
  <si>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</si>
  <si>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</si>
  <si>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</si>
  <si>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</si>
  <si>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</si>
  <si>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</si>
  <si>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</si>
  <si>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</si>
  <si>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</si>
  <si>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</si>
  <si>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</si>
  <si>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</si>
  <si>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</si>
  <si>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</si>
  <si>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</si>
  <si>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</si>
  <si>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</si>
  <si>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</si>
  <si>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</si>
  <si>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</si>
  <si>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</si>
  <si>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</si>
  <si>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</si>
  <si>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</si>
  <si>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</si>
  <si>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</si>
  <si>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</si>
  <si>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</si>
  <si>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</si>
  <si>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</si>
  <si>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</si>
  <si>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</si>
  <si>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</si>
  <si>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</si>
  <si>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</si>
  <si>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</si>
  <si>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</si>
  <si>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</si>
  <si>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</si>
  <si>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</si>
  <si>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</si>
  <si>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</si>
  <si>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</si>
  <si>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</si>
  <si>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</si>
  <si>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</si>
  <si>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</si>
  <si>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</si>
  <si>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</si>
  <si>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</si>
  <si>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</si>
  <si>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</si>
  <si>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</si>
  <si>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</si>
  <si>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</si>
  <si>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</si>
  <si>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</si>
  <si>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</si>
  <si>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</si>
  <si>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</si>
  <si>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</si>
  <si>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</si>
  <si>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</si>
  <si>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</si>
  <si>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</si>
  <si>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</si>
  <si>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</si>
  <si>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</si>
  <si>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</si>
  <si>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</si>
  <si>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</si>
  <si>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</si>
  <si>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</si>
  <si>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</si>
  <si>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</si>
  <si>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</si>
  <si>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</si>
  <si>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</si>
  <si>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</si>
  <si>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</si>
  <si>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</si>
  <si>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</si>
  <si>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</si>
  <si>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</si>
  <si>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</si>
  <si>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</si>
  <si>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</si>
  <si>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</si>
  <si>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</si>
  <si>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</si>
  <si>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</si>
  <si>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</si>
  <si>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</si>
  <si>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</si>
  <si>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</si>
  <si>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</si>
  <si>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</si>
  <si>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</si>
  <si>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</si>
  <si>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</si>
  <si>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</si>
  <si>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</si>
  <si>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</si>
  <si>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</si>
  <si>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</si>
  <si>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</si>
  <si>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</si>
  <si>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</si>
  <si>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</si>
  <si>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</si>
  <si>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</si>
  <si>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</si>
  <si>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</si>
  <si>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</si>
  <si>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</si>
  <si>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</si>
  <si>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</si>
  <si>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</si>
  <si>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</si>
  <si>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</si>
  <si>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</si>
  <si>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</si>
  <si>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</si>
  <si>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</si>
  <si>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</si>
  <si>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</si>
  <si>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</si>
  <si>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</si>
  <si>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</si>
  <si>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</si>
  <si>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</si>
  <si>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</si>
  <si>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</si>
  <si>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</si>
  <si>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</si>
  <si>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</si>
  <si>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</si>
  <si>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</si>
  <si>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</si>
  <si>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</si>
  <si>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</si>
  <si>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</si>
  <si>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</si>
  <si>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</si>
  <si>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</si>
  <si>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</si>
  <si>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</si>
  <si>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</si>
  <si>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</si>
  <si>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</si>
  <si>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</si>
  <si>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</si>
  <si>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</si>
  <si>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</si>
  <si>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</si>
  <si>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</si>
  <si>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</si>
  <si>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</si>
  <si>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</si>
  <si>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</si>
  <si>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</si>
  <si>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</si>
  <si>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</si>
  <si>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</si>
  <si>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</si>
  <si>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</si>
  <si>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</si>
  <si>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</si>
  <si>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</si>
  <si>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</si>
  <si>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</si>
  <si>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</si>
  <si>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</si>
  <si>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</si>
  <si>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</si>
  <si>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</si>
  <si>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</si>
  <si>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</si>
  <si>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</si>
  <si>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</si>
  <si>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</si>
  <si>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</si>
  <si>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</si>
  <si>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</si>
  <si>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</si>
  <si>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</si>
  <si>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</si>
  <si>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</si>
  <si>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</si>
  <si>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</si>
  <si>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</si>
  <si>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</si>
  <si>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</si>
  <si>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</si>
  <si>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</si>
  <si>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</si>
  <si>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</si>
  <si>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</si>
  <si>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</si>
  <si>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</si>
  <si>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</si>
  <si>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</si>
  <si>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</si>
  <si>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</si>
  <si>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</si>
  <si>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</si>
  <si>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</si>
  <si>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</si>
  <si>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</si>
  <si>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</si>
  <si>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</si>
  <si>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</si>
  <si>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</si>
  <si>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</si>
  <si>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</si>
  <si>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</si>
  <si>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</si>
  <si>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</si>
  <si>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</si>
  <si>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</si>
  <si>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</si>
  <si>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</si>
  <si>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</si>
  <si>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</si>
  <si>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</si>
  <si>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</si>
  <si>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</si>
  <si>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</si>
  <si>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</si>
  <si>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</si>
  <si>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</si>
  <si>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</si>
  <si>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</si>
  <si>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</si>
  <si>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</si>
  <si>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</si>
  <si>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</si>
  <si>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</si>
  <si>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</si>
  <si>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</si>
  <si>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</si>
  <si>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</si>
  <si>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</si>
  <si>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</si>
  <si>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</si>
  <si>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</si>
  <si>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</si>
  <si>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</si>
  <si>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</si>
  <si>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</si>
  <si>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</si>
  <si>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</si>
  <si>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</si>
  <si>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</si>
  <si>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</si>
  <si>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</si>
  <si>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</si>
  <si>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</si>
  <si>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</si>
  <si>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</si>
  <si>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</si>
  <si>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</si>
  <si>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</si>
  <si>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</si>
  <si>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</si>
  <si>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</si>
  <si>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</si>
  <si>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</si>
  <si>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</si>
  <si>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</si>
  <si>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</si>
  <si>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</si>
  <si>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</si>
  <si>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</si>
  <si>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</si>
  <si>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</si>
  <si>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</si>
  <si>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</si>
  <si>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</si>
  <si>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</si>
  <si>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</si>
  <si>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</si>
  <si>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</si>
  <si>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</si>
  <si>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</si>
  <si>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</si>
  <si>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</si>
  <si>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</si>
  <si>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</si>
  <si>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</si>
  <si>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</si>
  <si>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</si>
  <si>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</si>
  <si>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</si>
  <si>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</si>
  <si>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</si>
  <si>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</si>
  <si>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</si>
  <si>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</si>
  <si>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</si>
  <si>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</si>
  <si>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</si>
  <si>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</si>
  <si>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</si>
  <si>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</si>
  <si>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</si>
  <si>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</si>
  <si>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</si>
  <si>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</si>
  <si>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</si>
  <si>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</si>
  <si>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</si>
  <si>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</si>
  <si>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</si>
  <si>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</si>
  <si>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</si>
  <si>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</si>
  <si>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</si>
  <si>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</si>
  <si>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</si>
  <si>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</si>
  <si>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</si>
  <si>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</si>
  <si>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</si>
  <si>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</si>
  <si>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</si>
  <si>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</si>
  <si>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</si>
  <si>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</si>
  <si>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</si>
  <si>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</si>
  <si>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</si>
  <si>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</si>
  <si>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</si>
  <si>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</si>
  <si>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</si>
  <si>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</si>
  <si>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</si>
  <si>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</si>
  <si>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</si>
  <si>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</si>
  <si>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</si>
  <si>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</si>
  <si>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</si>
  <si>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</si>
  <si>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</si>
  <si>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</si>
  <si>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</si>
  <si>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</si>
  <si>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</si>
  <si>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</si>
  <si>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</si>
  <si>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</si>
  <si>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</si>
  <si>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</si>
  <si>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</si>
  <si>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</si>
  <si>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</si>
  <si>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</si>
  <si>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</si>
  <si>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</si>
  <si>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</si>
  <si>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</si>
  <si>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</si>
  <si>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</si>
  <si>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</si>
  <si>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</si>
  <si>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</si>
  <si>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</si>
  <si>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</si>
  <si>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</si>
  <si>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</si>
  <si>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</si>
  <si>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</si>
  <si>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</si>
  <si>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</si>
  <si>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</si>
  <si>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</si>
  <si>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</si>
  <si>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</si>
  <si>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</si>
  <si>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</si>
  <si>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</si>
  <si>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</si>
  <si>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</si>
  <si>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</si>
  <si>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</si>
  <si>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</si>
  <si>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</si>
  <si>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</si>
  <si>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</si>
  <si>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</si>
  <si>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</si>
  <si>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</si>
  <si>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</si>
  <si>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</si>
  <si>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</si>
  <si>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</si>
  <si>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</si>
  <si>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</si>
  <si>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</si>
  <si>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</si>
  <si>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</si>
  <si>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</si>
  <si>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</si>
  <si>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</si>
  <si>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</si>
  <si>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</si>
  <si>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</si>
  <si>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</si>
  <si>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</si>
  <si>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</si>
  <si>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</si>
  <si>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</si>
  <si>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</si>
  <si>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</si>
  <si>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</si>
  <si>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</si>
  <si>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</si>
  <si>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</si>
  <si>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</si>
  <si>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</si>
  <si>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</si>
  <si>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</si>
  <si>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</si>
  <si>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</si>
  <si>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</si>
  <si>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</si>
  <si>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</si>
  <si>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</si>
  <si>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</si>
  <si>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</si>
  <si>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</si>
  <si>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</si>
  <si>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</si>
  <si>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</si>
  <si>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</si>
  <si>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</si>
  <si>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</si>
  <si>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</si>
  <si>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</si>
  <si>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</si>
  <si>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</si>
  <si>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</si>
  <si>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</si>
  <si>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</si>
  <si>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</si>
  <si>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</si>
  <si>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</si>
  <si>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</si>
  <si>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</si>
  <si>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</si>
  <si>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</si>
  <si>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</si>
  <si>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</si>
  <si>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</si>
  <si>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</si>
  <si>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</si>
  <si>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</si>
  <si>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</si>
  <si>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</si>
  <si>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</si>
  <si>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</si>
  <si>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</si>
  <si>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</si>
  <si>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</si>
  <si>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</si>
  <si>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</si>
  <si>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</si>
  <si>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</si>
  <si>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</si>
  <si>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</si>
  <si>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</si>
  <si>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</si>
  <si>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</si>
  <si>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</si>
  <si>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</si>
  <si>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</si>
  <si>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</si>
  <si>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</si>
  <si>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</si>
  <si>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</si>
  <si>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</si>
  <si>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</si>
  <si>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</si>
  <si>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</si>
  <si>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</si>
  <si>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</si>
  <si>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</si>
  <si>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</si>
  <si>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</si>
  <si>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</si>
  <si>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</si>
  <si>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</si>
  <si>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</si>
  <si>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</si>
  <si>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</si>
  <si>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</si>
  <si>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</si>
  <si>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</si>
  <si>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</si>
  <si>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</si>
  <si>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</si>
  <si>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</si>
  <si>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</si>
  <si>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</si>
  <si>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</si>
  <si>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</si>
  <si>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</si>
  <si>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</si>
  <si>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</si>
  <si>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</si>
  <si>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</si>
  <si>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</si>
  <si>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</si>
  <si>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</si>
  <si>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</si>
  <si>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</si>
  <si>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</si>
  <si>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</si>
  <si>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</si>
  <si>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</si>
  <si>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</si>
  <si>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</si>
  <si>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</si>
  <si>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</si>
  <si>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</si>
  <si>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</si>
  <si>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</si>
  <si>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</si>
  <si>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</si>
  <si>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</si>
  <si>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</si>
  <si>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</si>
  <si>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</si>
  <si>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</si>
  <si>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</si>
  <si>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</si>
  <si>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</si>
  <si>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</si>
  <si>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</si>
  <si>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</si>
  <si>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</si>
  <si>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</si>
  <si>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</si>
  <si>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</si>
  <si>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</si>
  <si>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</si>
  <si>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</si>
  <si>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</si>
  <si>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</si>
  <si>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</si>
  <si>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</si>
  <si>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</si>
  <si>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</si>
  <si>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</si>
  <si>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</si>
  <si>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</si>
  <si>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</si>
  <si>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</si>
  <si>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</si>
  <si>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</si>
  <si>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</si>
  <si>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</si>
  <si>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</si>
  <si>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</si>
  <si>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</si>
  <si>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</si>
  <si>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</si>
  <si>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</si>
  <si>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</si>
  <si>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</si>
  <si>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</si>
  <si>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</si>
  <si>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</si>
  <si>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</si>
  <si>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</si>
  <si>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</si>
  <si>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</si>
  <si>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</si>
  <si>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</si>
  <si>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</si>
  <si>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</si>
  <si>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</si>
  <si>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</si>
  <si>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</si>
  <si>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</si>
  <si>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</si>
  <si>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</si>
  <si>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</si>
  <si>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</si>
  <si>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</si>
  <si>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</si>
  <si>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</si>
  <si>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</si>
  <si>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</si>
  <si>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</si>
  <si>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</si>
  <si>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</si>
  <si>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</si>
  <si>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</si>
  <si>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</si>
  <si>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</si>
  <si>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</si>
  <si>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</si>
  <si>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</si>
  <si>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</si>
  <si>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</si>
  <si>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</si>
  <si>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</si>
  <si>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</si>
  <si>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</si>
  <si>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</si>
  <si>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</si>
  <si>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</si>
  <si>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</si>
  <si>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</si>
  <si>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</si>
  <si>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</si>
  <si>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</si>
  <si>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</si>
  <si>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</si>
  <si>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</si>
  <si>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</si>
  <si>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</si>
  <si>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</si>
  <si>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</si>
  <si>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</si>
  <si>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</si>
  <si>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</si>
  <si>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</si>
  <si>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</si>
  <si>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</si>
  <si>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</si>
  <si>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</si>
  <si>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</si>
  <si>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</si>
  <si>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</si>
  <si>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</si>
  <si>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</si>
  <si>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</si>
  <si>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</si>
  <si>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</si>
  <si>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</si>
  <si>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</si>
  <si>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</si>
  <si>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</si>
  <si>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</si>
  <si>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</si>
  <si>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</si>
  <si>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</si>
  <si>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</si>
  <si>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</si>
  <si>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</si>
  <si>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</si>
  <si>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</si>
  <si>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</si>
  <si>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</si>
  <si>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</si>
  <si>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</si>
  <si>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</si>
  <si>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</si>
  <si>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</si>
  <si>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</si>
  <si>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</si>
  <si>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</si>
  <si>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</si>
  <si>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</si>
  <si>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</si>
  <si>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</si>
  <si>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</si>
  <si>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</si>
  <si>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</si>
  <si>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</si>
  <si>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</si>
  <si>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</si>
  <si>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</si>
  <si>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</si>
  <si>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</si>
  <si>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</si>
  <si>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</si>
  <si>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</si>
  <si>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</si>
  <si>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</si>
  <si>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</si>
  <si>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</si>
  <si>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</si>
  <si>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</si>
  <si>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</si>
  <si>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</si>
  <si>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</si>
  <si>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</si>
  <si>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</si>
  <si>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</si>
  <si>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</si>
  <si>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</si>
  <si>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</si>
  <si>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</si>
  <si>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</si>
  <si>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</si>
  <si>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</si>
  <si>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</si>
  <si>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</si>
  <si>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</si>
  <si>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</si>
  <si>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</si>
  <si>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</si>
  <si>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</si>
  <si>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</si>
  <si>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</si>
  <si>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</si>
  <si>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</si>
  <si>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</si>
  <si>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</si>
  <si>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</si>
  <si>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</si>
  <si>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</si>
  <si>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</si>
  <si>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</si>
  <si>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</si>
  <si>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</si>
  <si>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</si>
  <si>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</si>
  <si>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</si>
  <si>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</si>
  <si>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</si>
  <si>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</si>
  <si>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</si>
  <si>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</si>
  <si>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</si>
  <si>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</si>
  <si>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</si>
  <si>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</si>
  <si>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</si>
  <si>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</si>
  <si>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</si>
  <si>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</si>
  <si>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</si>
  <si>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</si>
  <si>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</si>
  <si>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</si>
  <si>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</si>
  <si>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</si>
  <si>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</si>
  <si>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</si>
  <si>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</si>
  <si>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</si>
  <si>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</si>
  <si>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</si>
  <si>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</si>
  <si>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</si>
  <si>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</si>
  <si>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</si>
  <si>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</si>
  <si>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</si>
  <si>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</si>
  <si>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</si>
  <si>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</si>
  <si>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</si>
  <si>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</si>
  <si>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</si>
  <si>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</si>
  <si>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</si>
  <si>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</si>
  <si>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</si>
  <si>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</si>
  <si>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</si>
  <si>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</si>
  <si>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</si>
  <si>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</si>
  <si>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</si>
  <si>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</si>
  <si>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</si>
  <si>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</si>
  <si>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</si>
  <si>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</si>
  <si>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</si>
  <si>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</si>
  <si>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</si>
  <si>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权证号</t>
    <phoneticPr fontId="134" type="noConversion"/>
  </si>
  <si>
    <r>
      <t>京（2</t>
    </r>
    <r>
      <rPr>
        <sz val="11"/>
        <color theme="1"/>
        <rFont val="宋体"/>
        <family val="3"/>
        <charset val="134"/>
        <scheme val="minor"/>
      </rPr>
      <t>020）西不动产权第0015892号</t>
    </r>
    <phoneticPr fontId="134" type="noConversion"/>
  </si>
  <si>
    <t>房号</t>
    <phoneticPr fontId="134" type="noConversion"/>
  </si>
  <si>
    <t>京（2020）西不动产权第0015872号</t>
    <phoneticPr fontId="134" type="noConversion"/>
  </si>
  <si>
    <t>北京红泰安科技发展有限公司</t>
    <phoneticPr fontId="134" type="noConversion"/>
  </si>
  <si>
    <t>总价</t>
    <phoneticPr fontId="134" type="noConversion"/>
  </si>
  <si>
    <t>京（2020）西不动产权第0015987号</t>
    <phoneticPr fontId="134" type="noConversion"/>
  </si>
  <si>
    <t>京（2020）西不动产权第0015893号</t>
    <phoneticPr fontId="134" type="noConversion"/>
  </si>
  <si>
    <t>仁达正评</t>
    <phoneticPr fontId="134" type="noConversion"/>
  </si>
  <si>
    <t>康正复估</t>
    <phoneticPr fontId="134" type="noConversion"/>
  </si>
  <si>
    <t>企业</t>
  </si>
  <si>
    <r>
      <t>2</t>
    </r>
    <r>
      <rPr>
        <sz val="11"/>
        <color theme="1"/>
        <rFont val="宋体"/>
        <family val="3"/>
        <charset val="134"/>
        <scheme val="minor"/>
      </rPr>
      <t>025.7.10调整</t>
    </r>
    <phoneticPr fontId="134" type="noConversion"/>
  </si>
  <si>
    <t>复估单价*1.1检验</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</si>
</sst>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95" fillId="5" borderId="0" xfId="0" applyFon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47" fillId="6" borderId="54" xfId="0" applyFont="1" applyFill="1" applyBorder="1" applyAlignment="1">
      <alignment horizontal="lef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0" fillId="9" borderId="0" xfId="0" applyFill="1">
      <alignmen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受贵公司委托，我公司对北京市房地产抵押价值进行了预评估。</v>
      </c>
    </row>
    <row r="7" spans="1:2">
      <c r="A7" s="1119" t="s">
        <v>566</v>
      </c>
      <c r="B7" s="1120" t="e">
        <f>'预评函-1'!A7</f>
        <v>#DIV/0!</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e">
        <f>'预评函-1'!A10</f>
        <v>#DIV/0!</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2025年7月7日</v>
      </c>
    </row>
    <row r="13" spans="1:2">
      <c r="A13" s="1119" t="s">
        <v>529</v>
      </c>
      <c r="B13" s="1120" t="str">
        <f>'预评函-1'!A18</f>
        <v>本次估价的“房地产价值”是指在正常市场情况下，在价值时点2025年7月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0</v>
      </c>
    </row>
    <row r="44" spans="1:2" ht="31.2">
      <c r="A44" s="1119" t="s">
        <v>575</v>
      </c>
      <c r="B44" s="1120" t="str">
        <f>'预评函-3'!C2</f>
        <v>(分摊)土地面积</v>
      </c>
    </row>
    <row r="45" spans="1:2">
      <c r="A45" s="1119" t="s">
        <v>547</v>
      </c>
      <c r="B45" s="1120" t="e">
        <f>'预评函-3'!C4</f>
        <v>#DIV/0!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3406</v>
      </c>
      <c r="AA1" s="1438" t="s">
        <v>3405</v>
      </c>
      <c r="AB1" s="1438" t="s">
        <v>3</v>
      </c>
    </row>
    <row r="2" spans="1:28">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2438</v>
      </c>
      <c r="Y2" s="1445" t="s">
        <v>3413</v>
      </c>
      <c r="Z2" s="1445" t="s">
        <v>2451</v>
      </c>
      <c r="AA2" s="1445" t="s">
        <v>3414</v>
      </c>
      <c r="AB2" s="1445" t="s">
        <v>2478</v>
      </c>
    </row>
    <row r="3" spans="1:28">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2440</v>
      </c>
      <c r="Z3" s="1445" t="s">
        <v>2453</v>
      </c>
      <c r="AB3" s="1445" t="s">
        <v>2480</v>
      </c>
    </row>
    <row r="4" spans="1:28">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2442</v>
      </c>
      <c r="Z4" s="1445" t="s">
        <v>2455</v>
      </c>
      <c r="AB4" s="1445" t="s">
        <v>2482</v>
      </c>
    </row>
    <row r="5" spans="1:28">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2444</v>
      </c>
      <c r="Z5" s="1445" t="s">
        <v>2457</v>
      </c>
      <c r="AB5" s="1445" t="s">
        <v>3415</v>
      </c>
    </row>
    <row r="6" spans="1:28">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2446</v>
      </c>
      <c r="Z6" s="1445" t="s">
        <v>2459</v>
      </c>
      <c r="AB6" s="1445" t="s">
        <v>2485</v>
      </c>
    </row>
    <row r="7" spans="1:28">
      <c r="A7" s="1441" t="s">
        <v>1023</v>
      </c>
      <c r="B7" s="1444" t="s">
        <v>450</v>
      </c>
      <c r="C7" s="1442" t="s">
        <v>25</v>
      </c>
      <c r="F7" s="1443" t="s">
        <v>1024</v>
      </c>
      <c r="H7" s="1443" t="s">
        <v>1025</v>
      </c>
      <c r="I7" s="1443" t="s">
        <v>3341</v>
      </c>
      <c r="X7" s="1445" t="s">
        <v>2448</v>
      </c>
      <c r="Z7" s="1445" t="s">
        <v>2461</v>
      </c>
      <c r="AB7" s="1445" t="s">
        <v>2487</v>
      </c>
    </row>
    <row r="8" spans="1:28">
      <c r="A8" s="1441" t="s">
        <v>1026</v>
      </c>
      <c r="B8" s="1441" t="s">
        <v>1027</v>
      </c>
      <c r="C8" s="1442" t="s">
        <v>319</v>
      </c>
      <c r="F8" s="1443" t="s">
        <v>1028</v>
      </c>
      <c r="H8" s="1443" t="s">
        <v>2576</v>
      </c>
      <c r="I8" s="1443" t="s">
        <v>3342</v>
      </c>
      <c r="X8" s="1445" t="s">
        <v>3416</v>
      </c>
      <c r="Z8" s="1445" t="s">
        <v>2463</v>
      </c>
      <c r="AB8" s="1445" t="s">
        <v>2489</v>
      </c>
    </row>
    <row r="9" spans="1:28">
      <c r="A9" s="1441" t="s">
        <v>1029</v>
      </c>
      <c r="B9" s="1441" t="s">
        <v>1030</v>
      </c>
      <c r="C9" s="1442" t="s">
        <v>320</v>
      </c>
      <c r="F9" s="1443" t="s">
        <v>1031</v>
      </c>
      <c r="H9" s="1443"/>
      <c r="I9" s="1445" t="s">
        <v>3343</v>
      </c>
      <c r="X9" s="1445" t="s">
        <v>3417</v>
      </c>
      <c r="Z9" s="1445" t="s">
        <v>2465</v>
      </c>
      <c r="AB9" s="1445" t="s">
        <v>2491</v>
      </c>
    </row>
    <row r="10" spans="1:28">
      <c r="A10" s="1441" t="s">
        <v>1032</v>
      </c>
      <c r="B10" s="1441" t="s">
        <v>1033</v>
      </c>
      <c r="C10" s="1442" t="s">
        <v>321</v>
      </c>
      <c r="F10" s="1443" t="s">
        <v>2577</v>
      </c>
      <c r="I10" s="1445" t="s">
        <v>3344</v>
      </c>
      <c r="Z10" s="1445" t="s">
        <v>2467</v>
      </c>
      <c r="AB10" s="1445" t="s">
        <v>2493</v>
      </c>
    </row>
    <row r="11" spans="1:28">
      <c r="A11" s="1441" t="s">
        <v>1034</v>
      </c>
      <c r="B11" s="1441" t="s">
        <v>1035</v>
      </c>
      <c r="C11" s="1442" t="s">
        <v>322</v>
      </c>
      <c r="F11" s="1443" t="s">
        <v>13</v>
      </c>
      <c r="I11" s="1445" t="s">
        <v>3345</v>
      </c>
      <c r="Z11" s="1445" t="s">
        <v>2469</v>
      </c>
      <c r="AB11" s="1445" t="s">
        <v>2495</v>
      </c>
    </row>
    <row r="12" spans="1:28">
      <c r="A12" s="1441" t="s">
        <v>1036</v>
      </c>
      <c r="B12" s="1441" t="s">
        <v>1037</v>
      </c>
      <c r="C12" s="1442" t="s">
        <v>323</v>
      </c>
      <c r="I12" s="1445" t="s">
        <v>3346</v>
      </c>
      <c r="Z12" s="1445" t="s">
        <v>2471</v>
      </c>
      <c r="AB12" s="1445" t="s">
        <v>2497</v>
      </c>
    </row>
    <row r="13" spans="1:28">
      <c r="A13" s="1441" t="s">
        <v>1038</v>
      </c>
      <c r="B13" s="1441" t="s">
        <v>1039</v>
      </c>
      <c r="C13" s="1442" t="s">
        <v>324</v>
      </c>
      <c r="I13" s="1445" t="s">
        <v>3347</v>
      </c>
      <c r="Z13" s="1445" t="s">
        <v>2473</v>
      </c>
    </row>
    <row r="14" spans="1:28">
      <c r="A14" s="1441" t="s">
        <v>1040</v>
      </c>
      <c r="B14" s="1441" t="s">
        <v>1041</v>
      </c>
      <c r="C14" s="1443" t="s">
        <v>13</v>
      </c>
      <c r="I14" s="1445" t="s">
        <v>3348</v>
      </c>
      <c r="Z14" s="1445" t="s">
        <v>2475</v>
      </c>
    </row>
    <row r="15" spans="1:28">
      <c r="A15" s="1441" t="s">
        <v>1042</v>
      </c>
      <c r="B15" s="1441" t="s">
        <v>1043</v>
      </c>
      <c r="C15" s="1442"/>
      <c r="I15" s="1445" t="s">
        <v>3349</v>
      </c>
    </row>
    <row r="16" spans="1:28">
      <c r="A16" s="1441" t="s">
        <v>1044</v>
      </c>
      <c r="B16" s="1441" t="s">
        <v>312</v>
      </c>
      <c r="C16" s="1442"/>
    </row>
    <row r="17" spans="1:3">
      <c r="A17" s="1441" t="s">
        <v>1045</v>
      </c>
      <c r="B17" s="1441" t="s">
        <v>2292</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1"/>
      <c r="B54" s="1447" t="s">
        <v>385</v>
      </c>
      <c r="C54" s="1445" t="s">
        <v>583</v>
      </c>
    </row>
    <row r="55" spans="1:4">
      <c r="A55" s="3211"/>
      <c r="B55" s="1447" t="s">
        <v>386</v>
      </c>
      <c r="C55" s="1445" t="s">
        <v>584</v>
      </c>
    </row>
    <row r="56" spans="1:4">
      <c r="A56" s="3211"/>
      <c r="B56" s="1447" t="s">
        <v>387</v>
      </c>
      <c r="C56" s="1445" t="s">
        <v>588</v>
      </c>
    </row>
    <row r="57" spans="1:4">
      <c r="A57" s="321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9"/>
    <col min="8" max="8" width="5.44140625" style="2759" customWidth="1"/>
    <col min="9" max="13" width="9.44140625" style="2800" customWidth="1"/>
    <col min="14" max="18" width="9.44140625" style="2759" customWidth="1"/>
    <col min="19" max="16384" width="15.21875" style="2759"/>
  </cols>
  <sheetData>
    <row r="1" spans="1:18">
      <c r="A1" s="2756" t="s">
        <v>2499</v>
      </c>
      <c r="B1" s="2757"/>
      <c r="C1" s="2757"/>
      <c r="D1" s="2757"/>
      <c r="E1" s="2757"/>
      <c r="F1" s="2758"/>
      <c r="I1" s="3135" t="s">
        <v>2592</v>
      </c>
      <c r="J1" s="2783"/>
      <c r="K1" s="2783"/>
      <c r="L1" s="2783"/>
      <c r="M1" s="2783"/>
      <c r="N1" s="2968"/>
      <c r="O1" s="2968"/>
      <c r="P1" s="2968"/>
      <c r="Q1" s="2968"/>
      <c r="R1" s="2968"/>
    </row>
    <row r="2" spans="1:18">
      <c r="A2" s="2760"/>
      <c r="B2" s="2761"/>
      <c r="C2" s="2761"/>
      <c r="D2" s="2761"/>
      <c r="E2" s="2761"/>
      <c r="F2" s="2762"/>
      <c r="I2" s="3212" t="s">
        <v>2579</v>
      </c>
      <c r="J2" s="3212"/>
      <c r="K2" s="3212"/>
      <c r="L2" s="3212"/>
      <c r="M2" s="3212"/>
      <c r="N2" s="3212"/>
      <c r="O2" s="3212"/>
      <c r="P2" s="3212"/>
      <c r="Q2" s="3212"/>
      <c r="R2" s="3212"/>
    </row>
    <row r="3" spans="1:18">
      <c r="A3" s="2763" t="s">
        <v>2500</v>
      </c>
      <c r="B3" s="2764">
        <f>项目基本情况!D3</f>
        <v>45845</v>
      </c>
      <c r="C3" s="2766"/>
      <c r="D3" s="2766"/>
      <c r="E3" s="2766"/>
      <c r="F3" s="2762"/>
      <c r="I3" s="2778"/>
      <c r="J3" s="2778" t="s">
        <v>2583</v>
      </c>
      <c r="K3" s="2778" t="s">
        <v>2584</v>
      </c>
      <c r="L3" s="2778" t="s">
        <v>2585</v>
      </c>
      <c r="M3" s="2778" t="s">
        <v>2586</v>
      </c>
      <c r="N3" s="3136" t="s">
        <v>2587</v>
      </c>
      <c r="O3" s="3136" t="s">
        <v>2588</v>
      </c>
      <c r="P3" s="3136" t="s">
        <v>2589</v>
      </c>
      <c r="Q3" s="3136" t="s">
        <v>2590</v>
      </c>
      <c r="R3" s="3136" t="s">
        <v>2591</v>
      </c>
    </row>
    <row r="4" spans="1:18">
      <c r="A4" s="2763" t="s">
        <v>2501</v>
      </c>
      <c r="B4" s="2766" t="s">
        <v>2502</v>
      </c>
      <c r="C4" s="2766" t="s">
        <v>2503</v>
      </c>
      <c r="D4" s="2766" t="s">
        <v>2504</v>
      </c>
      <c r="E4" s="2766" t="s">
        <v>2505</v>
      </c>
      <c r="F4" s="2762"/>
      <c r="I4" s="2778" t="s">
        <v>2580</v>
      </c>
      <c r="J4" s="2778">
        <v>80</v>
      </c>
      <c r="K4" s="2778">
        <v>70</v>
      </c>
      <c r="L4" s="2778">
        <v>20</v>
      </c>
      <c r="M4" s="2778">
        <v>30</v>
      </c>
      <c r="N4" s="2766">
        <v>45</v>
      </c>
      <c r="O4" s="2766">
        <v>60</v>
      </c>
      <c r="P4" s="2766">
        <v>50</v>
      </c>
      <c r="Q4" s="2766">
        <v>20</v>
      </c>
      <c r="R4" s="2766">
        <v>375</v>
      </c>
    </row>
    <row r="5" spans="1:18">
      <c r="A5" s="2767">
        <v>40</v>
      </c>
      <c r="B5" s="2764">
        <v>46375</v>
      </c>
      <c r="C5" s="2766">
        <f>ROUNDDOWN(MIN((B5-B3)/365,A5),2)</f>
        <v>1.45</v>
      </c>
      <c r="D5" s="2768">
        <f>IF(ISERROR(ROUND(POWER(1+E5,A5-C5)*(POWER(1+E5,C5)-1)/(POWER(1+E5,A5)-1),3)),0,ROUND(POWER(1+E5,A5-C5)*(POWER(1+E5,C5)-1)/(POWER(1+E5,A5)-1),4))</f>
        <v>6.9800000000000001E-2</v>
      </c>
      <c r="E5" s="2769">
        <v>0.04</v>
      </c>
      <c r="F5" s="2762"/>
      <c r="I5" s="2778" t="s">
        <v>2581</v>
      </c>
      <c r="J5" s="2778">
        <v>70</v>
      </c>
      <c r="K5" s="2778">
        <v>60</v>
      </c>
      <c r="L5" s="2778">
        <v>15</v>
      </c>
      <c r="M5" s="2778">
        <v>25</v>
      </c>
      <c r="N5" s="2766">
        <v>40</v>
      </c>
      <c r="O5" s="2766">
        <v>50</v>
      </c>
      <c r="P5" s="2766">
        <v>40</v>
      </c>
      <c r="Q5" s="2766">
        <v>15</v>
      </c>
      <c r="R5" s="2766">
        <v>315</v>
      </c>
    </row>
    <row r="6" spans="1:18">
      <c r="A6" s="2767">
        <v>50</v>
      </c>
      <c r="B6" s="2764">
        <v>50028</v>
      </c>
      <c r="C6" s="2766">
        <f>ROUNDDOWN(MIN((B6-B3)/365,A6),2)</f>
        <v>11.46</v>
      </c>
      <c r="D6" s="2768">
        <f>IF(ISERROR(ROUND(POWER(1+E6,A6-C6)*(POWER(1+E6,C6)-1)/(POWER(1+E6,A6)-1),3)),0,ROUND(POWER(1+E6,A6-C6)*(POWER(1+E6,C6)-1)/(POWER(1+E6,A6)-1),4))</f>
        <v>0.42130000000000001</v>
      </c>
      <c r="E6" s="2769">
        <v>0.04</v>
      </c>
      <c r="F6" s="2762"/>
      <c r="I6" s="2778" t="s">
        <v>2582</v>
      </c>
      <c r="J6" s="2778">
        <v>60</v>
      </c>
      <c r="K6" s="2778">
        <v>50</v>
      </c>
      <c r="L6" s="2778">
        <v>10</v>
      </c>
      <c r="M6" s="2778">
        <v>20</v>
      </c>
      <c r="N6" s="2766">
        <v>35</v>
      </c>
      <c r="O6" s="2766">
        <v>40</v>
      </c>
      <c r="P6" s="2766">
        <v>30</v>
      </c>
      <c r="Q6" s="2766">
        <v>10</v>
      </c>
      <c r="R6" s="2766">
        <v>255</v>
      </c>
    </row>
    <row r="7" spans="1:18">
      <c r="A7" s="2767">
        <v>70</v>
      </c>
      <c r="B7" s="2764">
        <v>57333</v>
      </c>
      <c r="C7" s="2766">
        <f>ROUNDDOWN(MIN((B7-B3)/365,A7),2)</f>
        <v>31.47</v>
      </c>
      <c r="D7" s="2768">
        <f>IF(ISERROR(ROUND(POWER(1+E7,A7-C7)*(POWER(1+E7,C7)-1)/(POWER(1+E7,A7)-1),3)),0,ROUND(POWER(1+E7,A7-C7)*(POWER(1+E7,C7)-1)/(POWER(1+E7,A7)-1),4))</f>
        <v>0.75760000000000005</v>
      </c>
      <c r="E7" s="2769">
        <v>0.04</v>
      </c>
      <c r="F7" s="2762"/>
    </row>
    <row r="8" spans="1:18">
      <c r="A8" s="2760"/>
      <c r="B8" s="2761"/>
      <c r="C8" s="2761"/>
      <c r="D8" s="2761"/>
      <c r="E8" s="2761"/>
      <c r="F8" s="2762"/>
    </row>
    <row r="9" spans="1:18">
      <c r="A9" s="2763" t="s">
        <v>2506</v>
      </c>
      <c r="B9" s="2766"/>
      <c r="C9" s="2766"/>
      <c r="D9" s="2766"/>
      <c r="E9" s="2766"/>
      <c r="F9" s="2770"/>
    </row>
    <row r="10" spans="1:18">
      <c r="A10" s="2763" t="s">
        <v>2507</v>
      </c>
      <c r="B10" s="2766"/>
      <c r="C10" s="2766"/>
      <c r="D10" s="2766" t="s">
        <v>2505</v>
      </c>
      <c r="E10" s="2766"/>
      <c r="F10" s="2770" t="s">
        <v>2504</v>
      </c>
    </row>
    <row r="11" spans="1:18">
      <c r="A11" s="2763" t="s">
        <v>2508</v>
      </c>
      <c r="B11" s="2771">
        <v>70</v>
      </c>
      <c r="C11" s="2766" t="s">
        <v>2509</v>
      </c>
      <c r="D11" s="2771">
        <v>4.4999999999999998E-2</v>
      </c>
      <c r="E11" s="2766" t="s">
        <v>2510</v>
      </c>
      <c r="F11" s="2772">
        <f>ROUND(1-(1/(POWER(1+D11,B11))),4)</f>
        <v>0.95409999999999995</v>
      </c>
    </row>
    <row r="12" spans="1:18">
      <c r="A12" s="2763" t="s">
        <v>2511</v>
      </c>
      <c r="B12" s="2771">
        <v>40</v>
      </c>
      <c r="C12" s="2766" t="s">
        <v>2512</v>
      </c>
      <c r="D12" s="2771">
        <v>4.4999999999999998E-2</v>
      </c>
      <c r="E12" s="2766" t="s">
        <v>2513</v>
      </c>
      <c r="F12" s="2772">
        <f>ROUND(1-(1/(POWER(1+D12,B12))),4)</f>
        <v>0.82809999999999995</v>
      </c>
    </row>
    <row r="13" spans="1:18">
      <c r="A13" s="2763" t="s">
        <v>2514</v>
      </c>
      <c r="B13" s="2766"/>
      <c r="C13" s="2766"/>
      <c r="D13" s="2761"/>
      <c r="E13" s="2761"/>
      <c r="F13" s="2762"/>
    </row>
    <row r="14" spans="1:18">
      <c r="A14" s="2763" t="s">
        <v>2515</v>
      </c>
      <c r="B14" s="2771">
        <v>5000</v>
      </c>
      <c r="C14" s="2765"/>
      <c r="D14" s="2761"/>
      <c r="E14" s="2761"/>
      <c r="F14" s="2762"/>
    </row>
    <row r="15" spans="1:18">
      <c r="A15" s="2763" t="s">
        <v>2516</v>
      </c>
      <c r="B15" s="2766">
        <f>ROUND(B14*F12/F11,2)</f>
        <v>4339.6899999999996</v>
      </c>
      <c r="C15" s="2766">
        <f>ROUND(F12/F11,4)</f>
        <v>0.8679</v>
      </c>
      <c r="D15" s="2761"/>
      <c r="E15" s="2761"/>
      <c r="F15" s="2762"/>
    </row>
    <row r="16" spans="1:18">
      <c r="A16" s="2763" t="s">
        <v>2517</v>
      </c>
      <c r="B16" s="2766"/>
      <c r="C16" s="2766"/>
      <c r="D16" s="2761"/>
      <c r="E16" s="2761"/>
      <c r="F16" s="2762"/>
    </row>
    <row r="17" spans="1:14">
      <c r="A17" s="2763" t="s">
        <v>2516</v>
      </c>
      <c r="B17" s="2771">
        <v>4810</v>
      </c>
      <c r="C17" s="2765"/>
      <c r="D17" s="2761"/>
      <c r="E17" s="2761"/>
      <c r="F17" s="2762"/>
    </row>
    <row r="18" spans="1:14" ht="15" thickBot="1">
      <c r="A18" s="2773" t="s">
        <v>2515</v>
      </c>
      <c r="B18" s="2774">
        <f>ROUND(B17*F11/F12,2)</f>
        <v>5541.87</v>
      </c>
      <c r="C18" s="2774">
        <f>ROUND(F11/F12,4)</f>
        <v>1.1521999999999999</v>
      </c>
      <c r="D18" s="2775"/>
      <c r="E18" s="2775"/>
      <c r="F18" s="2776"/>
    </row>
    <row r="19" spans="1:14" ht="15" thickBot="1"/>
    <row r="20" spans="1:14" s="2809" customFormat="1" ht="15" thickTop="1">
      <c r="A20" s="2806" t="s">
        <v>2518</v>
      </c>
      <c r="B20" s="2807"/>
      <c r="C20" s="2807"/>
      <c r="D20" s="2807"/>
      <c r="E20" s="2807"/>
      <c r="F20" s="2807"/>
      <c r="G20" s="2808"/>
      <c r="I20" s="2810" t="s">
        <v>2563</v>
      </c>
      <c r="J20" s="2810" t="s">
        <v>2568</v>
      </c>
      <c r="K20" s="2810"/>
      <c r="L20" s="2810"/>
      <c r="M20" s="2810"/>
    </row>
    <row r="21" spans="1:14">
      <c r="A21" s="2777"/>
      <c r="B21" s="2778" t="s">
        <v>2519</v>
      </c>
      <c r="C21" s="2778" t="s">
        <v>2520</v>
      </c>
      <c r="D21" s="2778" t="s">
        <v>2521</v>
      </c>
      <c r="E21" s="2778" t="s">
        <v>2522</v>
      </c>
      <c r="F21" s="2778" t="s">
        <v>2523</v>
      </c>
      <c r="G21" s="2779" t="s">
        <v>2524</v>
      </c>
      <c r="I21" s="2800">
        <v>5</v>
      </c>
      <c r="J21" s="2800">
        <v>54.2</v>
      </c>
    </row>
    <row r="22" spans="1:14">
      <c r="A22" s="2777" t="s">
        <v>2525</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2526</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2566</v>
      </c>
      <c r="N23" s="3153" t="s">
        <v>2567</v>
      </c>
    </row>
    <row r="24" spans="1:14">
      <c r="A24" s="2777" t="s">
        <v>2527</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2565</v>
      </c>
      <c r="N24" s="3153">
        <v>10</v>
      </c>
    </row>
    <row r="25" spans="1:14">
      <c r="A25" s="2777" t="s">
        <v>2528</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2569</v>
      </c>
      <c r="N25" s="3153">
        <v>8</v>
      </c>
    </row>
    <row r="26" spans="1:14">
      <c r="A26" s="2782"/>
      <c r="B26" s="2783"/>
      <c r="C26" s="2783"/>
      <c r="D26" s="2783"/>
      <c r="E26" s="2783"/>
      <c r="F26" s="2783"/>
      <c r="G26" s="2784"/>
      <c r="I26" s="2800">
        <v>30</v>
      </c>
      <c r="J26" s="2800">
        <v>90.5</v>
      </c>
      <c r="K26" s="2800">
        <f t="shared" si="2"/>
        <v>4.2000000000000028</v>
      </c>
      <c r="L26" s="2800" t="s">
        <v>2570</v>
      </c>
      <c r="N26" s="3153">
        <v>5</v>
      </c>
    </row>
    <row r="27" spans="1:14">
      <c r="A27" s="2782" t="s">
        <v>2529</v>
      </c>
      <c r="B27" s="2783"/>
      <c r="C27" s="2783"/>
      <c r="D27" s="2783"/>
      <c r="E27" s="2783"/>
      <c r="F27" s="2783"/>
      <c r="G27" s="2784"/>
      <c r="I27" s="2800">
        <v>35</v>
      </c>
      <c r="J27" s="2800">
        <v>93.8</v>
      </c>
      <c r="K27" s="2800">
        <f t="shared" si="2"/>
        <v>3.2999999999999972</v>
      </c>
      <c r="L27" s="2800" t="s">
        <v>2571</v>
      </c>
      <c r="N27" s="3153">
        <v>3</v>
      </c>
    </row>
    <row r="28" spans="1:14">
      <c r="A28" s="2782" t="s">
        <v>2530</v>
      </c>
      <c r="B28" s="2783"/>
      <c r="C28" s="2783"/>
      <c r="D28" s="2783"/>
      <c r="E28" s="2783"/>
      <c r="F28" s="2783"/>
      <c r="G28" s="2784"/>
      <c r="I28" s="2800">
        <v>40</v>
      </c>
      <c r="J28" s="2800">
        <v>96.4</v>
      </c>
      <c r="K28" s="2800">
        <f t="shared" si="2"/>
        <v>2.6000000000000085</v>
      </c>
      <c r="L28" s="2800" t="s">
        <v>2572</v>
      </c>
      <c r="N28" s="3153">
        <v>2</v>
      </c>
    </row>
    <row r="29" spans="1:14">
      <c r="A29" s="2782" t="s">
        <v>2531</v>
      </c>
      <c r="B29" s="2783"/>
      <c r="C29" s="2783"/>
      <c r="D29" s="2783"/>
      <c r="E29" s="2783"/>
      <c r="F29" s="2783"/>
      <c r="G29" s="2784"/>
      <c r="I29" s="2800">
        <v>45</v>
      </c>
      <c r="J29" s="2800">
        <v>98.4</v>
      </c>
      <c r="K29" s="2800">
        <f t="shared" si="2"/>
        <v>2</v>
      </c>
    </row>
    <row r="30" spans="1:14">
      <c r="A30" s="2782" t="s">
        <v>2532</v>
      </c>
      <c r="B30" s="2783"/>
      <c r="C30" s="2783"/>
      <c r="D30" s="2783"/>
      <c r="E30" s="2783"/>
      <c r="F30" s="2783"/>
      <c r="G30" s="2784"/>
      <c r="I30" s="2800">
        <v>50</v>
      </c>
      <c r="J30" s="2800">
        <v>100</v>
      </c>
      <c r="K30" s="2800">
        <f t="shared" si="2"/>
        <v>1.5999999999999943</v>
      </c>
    </row>
    <row r="31" spans="1:14">
      <c r="A31" s="2782" t="s">
        <v>2533</v>
      </c>
      <c r="B31" s="2783"/>
      <c r="C31" s="2783"/>
      <c r="D31" s="2783"/>
      <c r="E31" s="2783"/>
      <c r="F31" s="2783"/>
      <c r="G31" s="2784"/>
      <c r="I31" s="2800" t="s">
        <v>2564</v>
      </c>
    </row>
    <row r="32" spans="1:14">
      <c r="A32" s="2782" t="s">
        <v>2534</v>
      </c>
      <c r="B32" s="2783"/>
      <c r="C32" s="2783"/>
      <c r="D32" s="2783"/>
      <c r="E32" s="2783"/>
      <c r="F32" s="2783"/>
      <c r="G32" s="2784"/>
    </row>
    <row r="33" spans="1:14">
      <c r="A33" s="2782" t="s">
        <v>2535</v>
      </c>
      <c r="B33" s="2783"/>
      <c r="C33" s="2783"/>
      <c r="D33" s="2783"/>
      <c r="E33" s="2783"/>
      <c r="F33" s="2783"/>
      <c r="G33" s="2784"/>
      <c r="I33" s="2800" t="s">
        <v>2563</v>
      </c>
      <c r="J33" s="2800" t="s">
        <v>2573</v>
      </c>
    </row>
    <row r="34" spans="1:14">
      <c r="A34" s="2782" t="s">
        <v>2536</v>
      </c>
      <c r="B34" s="2783"/>
      <c r="C34" s="2783"/>
      <c r="D34" s="2783"/>
      <c r="E34" s="2783"/>
      <c r="F34" s="2783"/>
      <c r="G34" s="2784"/>
      <c r="I34" s="2800">
        <v>5</v>
      </c>
      <c r="J34" s="2800">
        <v>55.1</v>
      </c>
    </row>
    <row r="35" spans="1:14">
      <c r="A35" s="2782" t="s">
        <v>2537</v>
      </c>
      <c r="B35" s="2783"/>
      <c r="C35" s="2783"/>
      <c r="D35" s="2783"/>
      <c r="E35" s="2783"/>
      <c r="F35" s="2783"/>
      <c r="G35" s="2784"/>
      <c r="I35" s="2800">
        <v>10</v>
      </c>
      <c r="J35" s="2800">
        <v>67</v>
      </c>
      <c r="K35" s="2800">
        <f>J35-J34</f>
        <v>11.899999999999999</v>
      </c>
    </row>
    <row r="36" spans="1:14">
      <c r="A36" s="2782" t="s">
        <v>2538</v>
      </c>
      <c r="B36" s="2783"/>
      <c r="C36" s="2783"/>
      <c r="D36" s="2783"/>
      <c r="E36" s="2783"/>
      <c r="F36" s="2783"/>
      <c r="G36" s="2784"/>
      <c r="I36" s="2800">
        <v>15</v>
      </c>
      <c r="J36" s="2800">
        <v>76.3</v>
      </c>
      <c r="K36" s="2800">
        <f t="shared" ref="K36:K41" si="3">J36-J35</f>
        <v>9.2999999999999972</v>
      </c>
      <c r="L36" s="2800" t="s">
        <v>2566</v>
      </c>
      <c r="N36" s="3153" t="s">
        <v>2567</v>
      </c>
    </row>
    <row r="37" spans="1:14">
      <c r="A37" s="2782" t="s">
        <v>2539</v>
      </c>
      <c r="B37" s="2783"/>
      <c r="C37" s="2783"/>
      <c r="D37" s="2783"/>
      <c r="E37" s="2783"/>
      <c r="F37" s="2783"/>
      <c r="G37" s="2784"/>
      <c r="I37" s="2800">
        <v>20</v>
      </c>
      <c r="J37" s="2800">
        <v>83.6</v>
      </c>
      <c r="K37" s="2800">
        <f t="shared" si="3"/>
        <v>7.2999999999999972</v>
      </c>
      <c r="L37" s="2800" t="s">
        <v>2565</v>
      </c>
      <c r="N37" s="3153">
        <v>10</v>
      </c>
    </row>
    <row r="38" spans="1:14">
      <c r="A38" s="2782" t="s">
        <v>2540</v>
      </c>
      <c r="B38" s="2783"/>
      <c r="C38" s="2783"/>
      <c r="D38" s="2783"/>
      <c r="E38" s="2783"/>
      <c r="F38" s="2783"/>
      <c r="G38" s="2784"/>
      <c r="I38" s="2800">
        <v>25</v>
      </c>
      <c r="J38" s="2800">
        <v>89.3</v>
      </c>
      <c r="K38" s="2800">
        <f t="shared" si="3"/>
        <v>5.7000000000000028</v>
      </c>
      <c r="L38" s="2800" t="s">
        <v>2569</v>
      </c>
      <c r="N38" s="3153">
        <v>8</v>
      </c>
    </row>
    <row r="39" spans="1:14">
      <c r="A39" s="2782"/>
      <c r="B39" s="2783"/>
      <c r="C39" s="2783"/>
      <c r="D39" s="2783"/>
      <c r="E39" s="2783"/>
      <c r="F39" s="2783"/>
      <c r="G39" s="2784"/>
      <c r="I39" s="2800">
        <v>30</v>
      </c>
      <c r="J39" s="2800">
        <v>93.8</v>
      </c>
      <c r="K39" s="2800">
        <f t="shared" si="3"/>
        <v>4.5</v>
      </c>
      <c r="L39" s="2800" t="s">
        <v>2570</v>
      </c>
      <c r="N39" s="3153">
        <v>6</v>
      </c>
    </row>
    <row r="40" spans="1:14">
      <c r="A40" s="2785" t="s">
        <v>2541</v>
      </c>
      <c r="B40" s="2786"/>
      <c r="C40" s="2786"/>
      <c r="D40" s="2786"/>
      <c r="E40" s="2786"/>
      <c r="F40" s="2786"/>
      <c r="G40" s="2787"/>
      <c r="I40" s="2800">
        <v>35</v>
      </c>
      <c r="J40" s="2800">
        <v>97.2</v>
      </c>
      <c r="K40" s="2800">
        <f t="shared" si="3"/>
        <v>3.4000000000000057</v>
      </c>
      <c r="L40" s="2800" t="s">
        <v>2571</v>
      </c>
      <c r="N40" s="3153">
        <v>3</v>
      </c>
    </row>
    <row r="41" spans="1:14">
      <c r="A41" s="2788" t="s">
        <v>2542</v>
      </c>
      <c r="B41" s="2789" t="s">
        <v>2543</v>
      </c>
      <c r="C41" s="2790" t="s">
        <v>2544</v>
      </c>
      <c r="D41" s="2790" t="s">
        <v>2545</v>
      </c>
      <c r="E41" s="2791"/>
      <c r="F41" s="2792"/>
      <c r="G41" s="2793"/>
      <c r="I41" s="2800">
        <v>40</v>
      </c>
      <c r="J41" s="2800">
        <v>100</v>
      </c>
      <c r="K41" s="2800">
        <f t="shared" si="3"/>
        <v>2.7999999999999972</v>
      </c>
    </row>
    <row r="42" spans="1:14">
      <c r="A42" s="2788" t="s">
        <v>2546</v>
      </c>
      <c r="B42" s="2789" t="s">
        <v>2547</v>
      </c>
      <c r="C42" s="2790" t="s">
        <v>2548</v>
      </c>
      <c r="D42" s="2794" t="s">
        <v>2549</v>
      </c>
      <c r="E42" s="2786" t="s">
        <v>2550</v>
      </c>
      <c r="F42" s="2786"/>
      <c r="G42" s="2787"/>
    </row>
    <row r="43" spans="1:14">
      <c r="A43" s="2788" t="s">
        <v>2551</v>
      </c>
      <c r="B43" s="2789" t="s">
        <v>2552</v>
      </c>
      <c r="C43" s="2790" t="s">
        <v>2553</v>
      </c>
      <c r="D43" s="2790" t="s">
        <v>2554</v>
      </c>
      <c r="E43" s="2791" t="s">
        <v>2555</v>
      </c>
      <c r="F43" s="2792"/>
      <c r="G43" s="2793"/>
      <c r="I43" s="2800" t="s">
        <v>2563</v>
      </c>
      <c r="J43" s="2800" t="s">
        <v>2574</v>
      </c>
    </row>
    <row r="44" spans="1:14">
      <c r="A44" s="2788" t="s">
        <v>2556</v>
      </c>
      <c r="B44" s="2789" t="s">
        <v>2557</v>
      </c>
      <c r="C44" s="2790" t="s">
        <v>2558</v>
      </c>
      <c r="D44" s="2794">
        <v>0.5</v>
      </c>
      <c r="E44" s="2791" t="s">
        <v>2559</v>
      </c>
      <c r="F44" s="2792"/>
      <c r="G44" s="2793"/>
      <c r="I44" s="2800">
        <v>30</v>
      </c>
      <c r="J44" s="2800">
        <v>81.7</v>
      </c>
    </row>
    <row r="45" spans="1:14" ht="15" thickBot="1">
      <c r="A45" s="2795" t="s">
        <v>2560</v>
      </c>
      <c r="B45" s="2796" t="s">
        <v>2547</v>
      </c>
      <c r="C45" s="2797" t="s">
        <v>2547</v>
      </c>
      <c r="D45" s="2797" t="s">
        <v>2561</v>
      </c>
      <c r="E45" s="2798" t="s">
        <v>2562</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5" thickBot="1"/>
    <row r="49" spans="1:4">
      <c r="A49" s="2756" t="s">
        <v>3386</v>
      </c>
    </row>
    <row r="50" spans="1:4">
      <c r="A50" s="3145" t="s">
        <v>3387</v>
      </c>
      <c r="B50" s="3145" t="s">
        <v>3388</v>
      </c>
      <c r="C50" s="3145" t="s">
        <v>3389</v>
      </c>
      <c r="D50" s="3145" t="s">
        <v>3390</v>
      </c>
    </row>
    <row r="51" spans="1:4">
      <c r="A51" s="3145" t="s">
        <v>3391</v>
      </c>
      <c r="B51" s="2765">
        <f>B52+B53</f>
        <v>15000</v>
      </c>
      <c r="C51" s="3146">
        <f>D51/B51</f>
        <v>2666.6666666666665</v>
      </c>
      <c r="D51" s="2765">
        <f>D52+D53</f>
        <v>40000000</v>
      </c>
    </row>
    <row r="52" spans="1:4">
      <c r="A52" s="3147" t="s">
        <v>3392</v>
      </c>
      <c r="B52" s="3148">
        <v>10000</v>
      </c>
      <c r="C52" s="3148">
        <v>1500</v>
      </c>
      <c r="D52" s="3149">
        <f>C52*B52</f>
        <v>15000000</v>
      </c>
    </row>
    <row r="53" spans="1:4">
      <c r="A53" s="3147" t="s">
        <v>3393</v>
      </c>
      <c r="B53" s="3148">
        <v>5000</v>
      </c>
      <c r="C53" s="3148">
        <v>5000</v>
      </c>
      <c r="D53" s="3149">
        <f>C53*B53</f>
        <v>25000000</v>
      </c>
    </row>
    <row r="54" spans="1:4">
      <c r="A54" s="3145" t="s">
        <v>3394</v>
      </c>
      <c r="B54" s="2765">
        <f>B51</f>
        <v>15000</v>
      </c>
      <c r="C54" s="2771">
        <v>700</v>
      </c>
      <c r="D54" s="2765">
        <f t="shared" ref="D54:D55" si="5">C54*B54</f>
        <v>10500000</v>
      </c>
    </row>
    <row r="55" spans="1:4">
      <c r="A55" s="3145" t="s">
        <v>3395</v>
      </c>
      <c r="B55" s="2765">
        <f>B51</f>
        <v>15000</v>
      </c>
      <c r="C55" s="2771">
        <v>1500</v>
      </c>
      <c r="D55" s="2765">
        <f t="shared" si="5"/>
        <v>22500000</v>
      </c>
    </row>
    <row r="56" spans="1:4">
      <c r="A56" s="3145" t="s">
        <v>3396</v>
      </c>
      <c r="B56" s="2765">
        <f>B51</f>
        <v>15000</v>
      </c>
      <c r="C56" s="3150">
        <f>C51+C54+C55</f>
        <v>4866.6666666666661</v>
      </c>
      <c r="D56" s="2765">
        <f>D51+D54+D55</f>
        <v>73000000</v>
      </c>
    </row>
    <row r="58" spans="1:4">
      <c r="A58" s="3145" t="s">
        <v>3397</v>
      </c>
      <c r="B58" s="3151">
        <v>0.05</v>
      </c>
      <c r="C58" s="2765">
        <f>C56*(1+B58)</f>
        <v>5110</v>
      </c>
      <c r="D58" s="2765">
        <f>D56*B58</f>
        <v>3650000</v>
      </c>
    </row>
    <row r="60" spans="1:4">
      <c r="A60" s="3145" t="s">
        <v>3398</v>
      </c>
      <c r="B60" s="2771">
        <v>3500</v>
      </c>
      <c r="C60" s="2771">
        <f>C53</f>
        <v>5000</v>
      </c>
      <c r="D60" s="2765">
        <f>C60*B60</f>
        <v>17500000</v>
      </c>
    </row>
    <row r="62" spans="1:4">
      <c r="A62" s="3145" t="s">
        <v>3399</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12" sqref="D12"/>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2167</v>
      </c>
      <c r="B1" s="3220" t="str">
        <f>IF(B10="北京市","北京市",C10)&amp;F10&amp;IF(结果表!G1="在建","出让国有建设用地使用权及在建建筑物",IF(结果表!G1="土地","出让国有建设用地使用权",))&amp;B9&amp;"预评估"</f>
        <v>北京市房地产抵押价值预评估</v>
      </c>
      <c r="C1" s="3221"/>
      <c r="D1" s="3221"/>
      <c r="E1" s="3221"/>
      <c r="F1" s="3221"/>
      <c r="G1" s="3221"/>
      <c r="H1" s="3221"/>
      <c r="I1" s="3222"/>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2168</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2169</v>
      </c>
      <c r="B3" s="2185"/>
      <c r="C3" s="2186" t="s">
        <v>2170</v>
      </c>
      <c r="D3" s="2185">
        <v>45845</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2172</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2174</v>
      </c>
      <c r="B7" s="2198"/>
      <c r="C7" s="2196"/>
      <c r="D7" s="2197"/>
      <c r="E7" s="2441"/>
      <c r="F7" s="2442"/>
      <c r="G7" s="2442"/>
      <c r="H7" s="2442"/>
      <c r="I7" s="2442"/>
      <c r="J7" s="2245"/>
      <c r="K7" s="2402"/>
      <c r="L7" s="2399"/>
      <c r="M7" s="2399"/>
      <c r="N7" s="2245"/>
      <c r="O7" s="1670"/>
      <c r="P7" s="2245"/>
      <c r="Q7" s="2245"/>
      <c r="R7" s="2245"/>
    </row>
    <row r="8" spans="1:30">
      <c r="A8" s="2199" t="s">
        <v>2175</v>
      </c>
      <c r="B8" s="2200" t="s">
        <v>3418</v>
      </c>
      <c r="C8" s="2201"/>
      <c r="D8" s="3223" t="s">
        <v>2176</v>
      </c>
      <c r="E8" s="2202" t="s">
        <v>3419</v>
      </c>
      <c r="F8" s="2203"/>
      <c r="G8" s="2442"/>
      <c r="H8" s="2442"/>
      <c r="I8" s="2442"/>
      <c r="J8" s="2245"/>
      <c r="K8" s="2400"/>
      <c r="L8" s="2399"/>
      <c r="M8" s="2399"/>
      <c r="N8" s="2245"/>
      <c r="O8" s="1670"/>
      <c r="P8" s="2245"/>
      <c r="Q8" s="2245"/>
      <c r="R8" s="2245"/>
    </row>
    <row r="9" spans="1:30" ht="13.8" thickBot="1">
      <c r="A9" s="2204" t="s">
        <v>2177</v>
      </c>
      <c r="B9" s="2205" t="s">
        <v>3419</v>
      </c>
      <c r="C9" s="2206"/>
      <c r="D9" s="3224"/>
      <c r="E9" s="2205"/>
      <c r="F9" s="2207"/>
      <c r="G9" s="2443"/>
      <c r="H9" s="2443"/>
      <c r="I9" s="2443"/>
      <c r="J9" s="2245"/>
      <c r="K9" s="2402"/>
      <c r="L9" s="2399"/>
      <c r="M9" s="2399"/>
      <c r="N9" s="2245"/>
      <c r="O9" s="1670"/>
      <c r="P9" s="2245"/>
      <c r="Q9" s="2245"/>
      <c r="R9" s="2245"/>
    </row>
    <row r="10" spans="1:30" ht="13.8" thickTop="1">
      <c r="A10" s="2208" t="s">
        <v>2178</v>
      </c>
      <c r="B10" s="2209" t="s">
        <v>3420</v>
      </c>
      <c r="C10" s="2210"/>
      <c r="D10" s="2193"/>
      <c r="E10" s="2211" t="s">
        <v>2179</v>
      </c>
      <c r="F10" s="2444"/>
      <c r="G10" s="2445"/>
      <c r="H10" s="2446"/>
      <c r="I10" s="2447"/>
      <c r="J10" s="2245"/>
      <c r="K10" s="2402"/>
      <c r="L10" s="2399"/>
      <c r="M10" s="2399"/>
      <c r="N10" s="2245"/>
      <c r="O10" s="1670"/>
      <c r="P10" s="2245"/>
      <c r="Q10" s="2245"/>
      <c r="R10" s="2245"/>
    </row>
    <row r="11" spans="1:30">
      <c r="A11" s="2212" t="s">
        <v>2180</v>
      </c>
      <c r="B11" s="2213" t="s">
        <v>3431</v>
      </c>
      <c r="C11" s="2214"/>
      <c r="D11" s="2215"/>
      <c r="E11" s="2182"/>
      <c r="F11" s="2182"/>
      <c r="G11" s="2182"/>
      <c r="H11" s="2182"/>
      <c r="I11" s="2182"/>
      <c r="J11" s="2802"/>
      <c r="K11" s="2399"/>
      <c r="L11" s="2399"/>
      <c r="M11" s="2399"/>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801" t="s">
        <v>2575</v>
      </c>
      <c r="J12" s="2803"/>
      <c r="K12" s="2399"/>
      <c r="L12" s="2399"/>
      <c r="M12" s="2245"/>
      <c r="N12" s="1670"/>
      <c r="O12" s="2245"/>
      <c r="P12" s="2245"/>
      <c r="Q12" s="2245"/>
      <c r="AD12" s="1618"/>
    </row>
    <row r="13" spans="1:30">
      <c r="A13" s="3122" t="s">
        <v>3331</v>
      </c>
      <c r="B13" s="2218" t="s">
        <v>2189</v>
      </c>
      <c r="C13" s="803"/>
      <c r="D13" s="803"/>
      <c r="E13" s="803"/>
      <c r="F13" s="803"/>
      <c r="G13" s="803"/>
      <c r="H13" s="803"/>
      <c r="I13" s="803"/>
      <c r="J13" s="2803"/>
      <c r="K13" s="2399"/>
      <c r="L13" s="2399"/>
      <c r="M13" s="2245"/>
      <c r="N13" s="1670"/>
      <c r="O13" s="2245"/>
      <c r="P13" s="2245"/>
      <c r="Q13" s="2245"/>
      <c r="AD13" s="1618"/>
    </row>
    <row r="14" spans="1:30">
      <c r="A14" s="1018"/>
      <c r="B14" s="2218" t="s">
        <v>2190</v>
      </c>
      <c r="C14" s="2219"/>
      <c r="D14" s="2219"/>
      <c r="E14" s="2219"/>
      <c r="F14" s="2219"/>
      <c r="G14" s="2219"/>
      <c r="H14" s="2219"/>
      <c r="I14" s="2219"/>
      <c r="J14" s="2804"/>
      <c r="K14" s="2399"/>
      <c r="L14" s="2399"/>
      <c r="M14" s="2245"/>
      <c r="N14" s="1670"/>
      <c r="O14" s="2245"/>
      <c r="P14" s="2245"/>
      <c r="Q14" s="2245"/>
      <c r="AD14" s="1618"/>
    </row>
    <row r="15" spans="1:30">
      <c r="A15" s="312"/>
      <c r="B15" s="2220" t="s">
        <v>2191</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2192</v>
      </c>
      <c r="B16" s="3230"/>
      <c r="C16" s="3231"/>
      <c r="D16" s="3232"/>
      <c r="E16" s="2222" t="s">
        <v>2193</v>
      </c>
      <c r="F16" s="3233"/>
      <c r="G16" s="3234"/>
      <c r="H16" s="3234"/>
      <c r="I16" s="3235"/>
      <c r="J16" s="2245"/>
      <c r="K16" s="2403"/>
      <c r="L16" s="1670"/>
      <c r="M16" s="1670"/>
      <c r="N16" s="2245"/>
      <c r="O16" s="1670"/>
      <c r="P16" s="2245"/>
      <c r="Q16" s="2245"/>
      <c r="R16" s="2245"/>
    </row>
    <row r="17" spans="1:28">
      <c r="A17" s="305" t="s">
        <v>2194</v>
      </c>
      <c r="B17" s="294" t="s">
        <v>2195</v>
      </c>
      <c r="C17" s="8">
        <f>'数据-汇总表'!E3</f>
        <v>0</v>
      </c>
      <c r="D17" s="1256" t="s">
        <v>2196</v>
      </c>
      <c r="E17" s="3236" t="s">
        <v>2197</v>
      </c>
      <c r="F17" s="3237"/>
      <c r="G17" s="3237"/>
      <c r="H17" s="3237"/>
      <c r="I17" s="3238"/>
      <c r="J17" s="2245"/>
      <c r="K17" s="2404"/>
      <c r="L17" s="1670"/>
      <c r="M17" s="1670"/>
      <c r="N17" s="2245"/>
      <c r="O17" s="1670"/>
      <c r="P17" s="2245"/>
      <c r="Q17" s="2245"/>
      <c r="R17" s="2245"/>
      <c r="S17" s="2245"/>
      <c r="T17" s="2245"/>
      <c r="U17" s="2245"/>
      <c r="V17" s="2245"/>
    </row>
    <row r="18" spans="1:28" ht="24.6" thickBot="1">
      <c r="A18" s="2223" t="s">
        <v>2198</v>
      </c>
      <c r="B18" s="1027" t="s">
        <v>2199</v>
      </c>
      <c r="C18" s="2224" t="e">
        <f>'数据-汇总表'!D3</f>
        <v>#DIV/0!</v>
      </c>
      <c r="D18" s="1029" t="s">
        <v>2200</v>
      </c>
      <c r="E18" s="3239" t="s">
        <v>2201</v>
      </c>
      <c r="F18" s="3240"/>
      <c r="G18" s="3240"/>
      <c r="H18" s="3240"/>
      <c r="I18" s="3241"/>
      <c r="J18" s="2245"/>
      <c r="K18" s="2404"/>
      <c r="L18" s="1670"/>
      <c r="M18" s="1670"/>
      <c r="N18" s="2245"/>
      <c r="O18" s="1670"/>
      <c r="P18" s="2245"/>
      <c r="Q18" s="2245"/>
      <c r="R18" s="2245"/>
      <c r="S18" s="2245"/>
      <c r="T18" s="2245"/>
      <c r="U18" s="2245"/>
      <c r="V18" s="2245"/>
    </row>
    <row r="19" spans="1:28" ht="37.200000000000003" thickTop="1" thickBot="1">
      <c r="A19" s="319" t="s">
        <v>1055</v>
      </c>
      <c r="B19" s="299" t="s">
        <v>2202</v>
      </c>
      <c r="C19" s="1455"/>
      <c r="D19" s="1456" t="s">
        <v>2203</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2204</v>
      </c>
      <c r="B20" s="3226" t="s">
        <v>2205</v>
      </c>
      <c r="C20" s="3227"/>
      <c r="D20" s="3228" t="s">
        <v>2206</v>
      </c>
      <c r="E20" s="3229"/>
      <c r="F20" s="2430" t="s">
        <v>1056</v>
      </c>
      <c r="G20" s="2442"/>
      <c r="H20" s="2442"/>
      <c r="I20" s="2442"/>
      <c r="J20" s="2245"/>
      <c r="K20" s="3225"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2208</v>
      </c>
      <c r="C21" s="2296" t="s">
        <v>1057</v>
      </c>
      <c r="D21" s="1460" t="s">
        <v>2209</v>
      </c>
      <c r="E21" s="2419" t="s">
        <v>1057</v>
      </c>
      <c r="F21" s="2431"/>
      <c r="G21" s="2442"/>
      <c r="H21" s="2442"/>
      <c r="I21" s="2442"/>
      <c r="J21" s="2245"/>
      <c r="K21" s="322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2210</v>
      </c>
      <c r="C22" s="2296" t="s">
        <v>1058</v>
      </c>
      <c r="D22" s="2442"/>
      <c r="E22" s="2442"/>
      <c r="F22" s="2442"/>
      <c r="G22" s="2442"/>
      <c r="H22" s="2442"/>
      <c r="I22" s="2442"/>
      <c r="J22" s="2245"/>
      <c r="K22" s="322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2211</v>
      </c>
      <c r="B23" s="2293" t="s">
        <v>2212</v>
      </c>
      <c r="C23" s="2422"/>
      <c r="D23" s="2423" t="s">
        <v>2212</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14" t="s">
        <v>2213</v>
      </c>
      <c r="B27" s="312" t="s">
        <v>2214</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4"/>
      <c r="B28" s="294" t="s">
        <v>2215</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4"/>
      <c r="B29" s="294" t="s">
        <v>2216</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5"/>
      <c r="B30" s="294" t="s">
        <v>2217</v>
      </c>
      <c r="C30" s="3216"/>
      <c r="D30" s="3217"/>
      <c r="E30" s="2442"/>
      <c r="F30" s="2442"/>
      <c r="G30" s="2442"/>
      <c r="H30" s="2442"/>
      <c r="I30" s="2442"/>
      <c r="J30" s="2245"/>
      <c r="K30" s="2402"/>
      <c r="L30" s="2399"/>
      <c r="M30" s="2399"/>
      <c r="N30" s="2245"/>
      <c r="O30" s="1670"/>
      <c r="P30" s="2245"/>
      <c r="Q30" s="2245"/>
      <c r="R30" s="2245"/>
      <c r="S30" s="2245"/>
      <c r="T30" s="2245"/>
      <c r="U30" s="2245"/>
      <c r="V30" s="2245"/>
    </row>
    <row r="31" spans="1:28">
      <c r="A31" s="3218" t="s">
        <v>2218</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9"/>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9"/>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2219</v>
      </c>
      <c r="B34" s="1870"/>
      <c r="C34" s="1870"/>
      <c r="D34" s="1870"/>
      <c r="E34" s="1870"/>
      <c r="F34" s="1870"/>
      <c r="G34" s="1870"/>
      <c r="H34" s="1870"/>
      <c r="I34" s="2442"/>
      <c r="J34" s="2245"/>
      <c r="K34" s="8">
        <f>COUNTIF(B34:H34,"——")</f>
        <v>0</v>
      </c>
      <c r="L34" s="315" t="s">
        <v>2220</v>
      </c>
      <c r="M34" s="315" t="s">
        <v>2221</v>
      </c>
      <c r="N34" s="315" t="s">
        <v>2222</v>
      </c>
      <c r="O34" s="315" t="s">
        <v>2223</v>
      </c>
      <c r="P34" s="315" t="s">
        <v>2224</v>
      </c>
      <c r="Q34" s="315" t="s">
        <v>2225</v>
      </c>
      <c r="R34" s="315" t="s">
        <v>2226</v>
      </c>
      <c r="S34" s="3213" t="s">
        <v>2227</v>
      </c>
      <c r="T34" s="315" t="str">
        <f>NUMBERSTRING(7-K34,1)&amp;"通"</f>
        <v>七通</v>
      </c>
      <c r="U34" s="2245"/>
      <c r="V34" s="2245"/>
    </row>
    <row r="35" spans="1:30">
      <c r="A35" s="2236"/>
      <c r="B35" s="3213" t="s">
        <v>2228</v>
      </c>
      <c r="C35" s="3213"/>
      <c r="D35" s="3213"/>
      <c r="E35" s="3213"/>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3"/>
      <c r="T35" s="138" t="str">
        <f>IF(T34="一通",L35,IF(T34="二通",M35,IF(T34="三通",N35,IF(T34="四通",O35,IF(T34="五通",P35,IF(T34="六通",Q35,R35))))))</f>
        <v>、、、、、、</v>
      </c>
      <c r="U35" s="2245"/>
      <c r="V35" s="2245"/>
    </row>
    <row r="36" spans="1:30">
      <c r="A36" s="2183"/>
      <c r="B36" s="8" t="s">
        <v>2184</v>
      </c>
      <c r="C36" s="8" t="s">
        <v>2185</v>
      </c>
      <c r="D36" s="8" t="s">
        <v>2183</v>
      </c>
      <c r="E36" s="8" t="s">
        <v>2188</v>
      </c>
      <c r="F36" s="2801" t="s">
        <v>2578</v>
      </c>
      <c r="G36" s="2442"/>
      <c r="H36" s="2442"/>
      <c r="I36" s="2442"/>
      <c r="J36" s="2245"/>
      <c r="K36" s="2402"/>
      <c r="L36" s="2399"/>
      <c r="M36" s="2399"/>
      <c r="N36" s="2245"/>
      <c r="O36" s="1670"/>
      <c r="P36" s="2245"/>
      <c r="Q36" s="2245"/>
      <c r="R36" s="2245"/>
      <c r="S36" s="2245"/>
      <c r="T36" s="2245"/>
      <c r="U36" s="2245"/>
      <c r="V36" s="2245"/>
    </row>
    <row r="37" spans="1:30">
      <c r="A37" s="2415" t="s">
        <v>2229</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2230</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2231</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2232</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2233</v>
      </c>
      <c r="B42" s="8" t="s">
        <v>2234</v>
      </c>
      <c r="C42" s="8" t="s">
        <v>2235</v>
      </c>
      <c r="D42" s="8" t="s">
        <v>2236</v>
      </c>
      <c r="E42" s="8" t="s">
        <v>2237</v>
      </c>
      <c r="F42" s="8" t="s">
        <v>2238</v>
      </c>
      <c r="G42" s="8" t="s">
        <v>2239</v>
      </c>
      <c r="H42" s="8" t="s">
        <v>2240</v>
      </c>
      <c r="I42" s="8" t="s">
        <v>2241</v>
      </c>
      <c r="J42" s="2411" t="s">
        <v>2242</v>
      </c>
      <c r="K42" s="2412" t="s">
        <v>2243</v>
      </c>
      <c r="L42" s="2412" t="s">
        <v>2244</v>
      </c>
      <c r="M42" s="2412" t="s">
        <v>2245</v>
      </c>
      <c r="N42" s="2405" t="s">
        <v>2246</v>
      </c>
      <c r="O42" s="2405" t="s">
        <v>2247</v>
      </c>
      <c r="P42" s="2405" t="s">
        <v>2248</v>
      </c>
      <c r="Q42" s="2406" t="s">
        <v>2249</v>
      </c>
      <c r="R42" s="2406"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6"/>
      <c r="AV6" s="12" t="s">
        <v>1072</v>
      </c>
      <c r="AW6" s="1474"/>
      <c r="AX6" s="147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f>I9</f>
        <v>0</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c r="E13" s="13" t="e">
        <f>IF($C$3="是",ROUND($A$3*G13/$B$3,2),ROUND($A$3*(G13-AT13)/$B$3,2))</f>
        <v>#DIV/0!</v>
      </c>
      <c r="F13" s="29"/>
      <c r="G13" s="30">
        <f>H13+AC13+AT13</f>
        <v>0</v>
      </c>
      <c r="H13" s="17">
        <f>SUMIF(I$12:AB$12,"总值",I13:AB13)</f>
        <v>0</v>
      </c>
      <c r="I13" s="1514"/>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t="e">
        <f>IF($C$3="是",ROUND($A$3*G14/$B$3,2),ROUND($A$3*(G14-AT14)/$B$3,2))</f>
        <v>#DIV/0!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t="e">
        <f>IF($C$3="是",ROUND($A$3*G15/$B$3,2),ROUND($A$3*(G15-AT15)/$B$3,2))</f>
        <v>#DIV/0!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t="e">
        <f>IF($C$3="是",ROUND($A$3*G16/$B$3,2),ROUND($A$3*(G16-AT16)/$B$3,2))</f>
        <v>#DIV/0!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t="e">
        <f>IF($C$3="是",ROUND($A$3*G17/$B$3,2),ROUND($A$3*(G17-AT17)/$B$3,2))</f>
        <v>#DIV/0!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1" t="s">
        <v>1131</v>
      </c>
      <c r="B2" s="3251"/>
      <c r="C2" s="3251"/>
      <c r="D2" s="748" t="s">
        <v>1107</v>
      </c>
      <c r="E2" s="1523" t="s">
        <v>1108</v>
      </c>
      <c r="F2" s="2439"/>
      <c r="G2" s="2432"/>
      <c r="H2" s="2433"/>
      <c r="I2" s="2146" t="s">
        <v>1132</v>
      </c>
      <c r="J2" s="2439"/>
      <c r="K2" s="2439"/>
      <c r="L2" s="2439"/>
      <c r="M2" s="2439"/>
      <c r="N2" s="2440"/>
      <c r="O2" s="2439"/>
      <c r="P2" s="2439"/>
    </row>
    <row r="3" spans="1:16" ht="15" thickBot="1">
      <c r="A3" s="3252" t="s">
        <v>1105</v>
      </c>
      <c r="B3" s="3252"/>
      <c r="C3" s="3252"/>
      <c r="D3" s="41" t="e">
        <f>'数据-基础表'!AY6</f>
        <v>#DIV/0!</v>
      </c>
      <c r="E3" s="41">
        <f>'数据-基础表'!AZ5</f>
        <v>0</v>
      </c>
      <c r="F3" s="2439"/>
      <c r="G3" s="42"/>
      <c r="H3" s="43" t="s">
        <v>1106</v>
      </c>
      <c r="I3" s="802" t="e">
        <f>ROUND('数据-基础表'!B3/'数据-基础表'!A3,2)</f>
        <v>#DIV/0!</v>
      </c>
      <c r="J3" s="2439"/>
      <c r="K3" s="2439"/>
      <c r="L3" s="2439"/>
      <c r="M3" s="2439"/>
      <c r="N3" s="2440"/>
      <c r="O3" s="2439"/>
      <c r="P3" s="2439"/>
    </row>
    <row r="4" spans="1:16" ht="14.4">
      <c r="A4" s="3253"/>
      <c r="B4" s="3254"/>
      <c r="C4" s="3255"/>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56" t="s">
        <v>1110</v>
      </c>
      <c r="C5" s="3256"/>
      <c r="D5" s="43" t="e">
        <f>ROUND($D$3*E5/$E$3,2)</f>
        <v>#DIV/0!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56" t="s">
        <v>1111</v>
      </c>
      <c r="C6" s="3256"/>
      <c r="D6" s="43" t="e">
        <f>ROUND($D$3*E6/$E$3,2)</f>
        <v>#DIV/0!</v>
      </c>
      <c r="E6" s="44">
        <f>E3-E5</f>
        <v>0</v>
      </c>
      <c r="F6" s="2439"/>
      <c r="G6" s="1529" t="s">
        <v>1112</v>
      </c>
      <c r="H6" s="45" t="s">
        <v>1113</v>
      </c>
      <c r="I6" s="2435" t="e">
        <f>ROUND(F31/D31,2)</f>
        <v>#DIV/0!</v>
      </c>
      <c r="J6" s="2439"/>
      <c r="K6" s="2439"/>
      <c r="L6" s="2439"/>
      <c r="M6" s="2439"/>
      <c r="N6" s="2439"/>
      <c r="O6" s="2439"/>
      <c r="P6" s="2439"/>
    </row>
    <row r="7" spans="1:16" ht="15" thickBot="1">
      <c r="A7" s="3248"/>
      <c r="B7" s="3249"/>
      <c r="C7" s="3250"/>
      <c r="D7" s="1524" t="s">
        <v>1107</v>
      </c>
      <c r="E7" s="1528" t="s">
        <v>1114</v>
      </c>
      <c r="F7" s="2439"/>
      <c r="G7" s="2436" t="s">
        <v>1115</v>
      </c>
      <c r="H7" s="95"/>
      <c r="I7" s="2437"/>
      <c r="J7" s="2439"/>
      <c r="K7" s="2439"/>
      <c r="L7" s="2439"/>
      <c r="M7" s="2439"/>
      <c r="N7" s="2439"/>
      <c r="O7" s="2439"/>
      <c r="P7" s="2439"/>
    </row>
    <row r="8" spans="1:16" ht="14.4">
      <c r="A8" s="42" t="s">
        <v>1116</v>
      </c>
      <c r="B8" s="45" t="s">
        <v>1117</v>
      </c>
      <c r="C8" s="43" t="s">
        <v>1118</v>
      </c>
      <c r="D8" s="43" t="e">
        <f t="shared" ref="D8:D15" si="0">ROUND($D$3*E8/$E$3,2)</f>
        <v>#DIV/0!</v>
      </c>
      <c r="E8" s="46">
        <f>SUMIF('数据-基础表'!BB10:BK10,"地上",'数据-基础表'!BB5:BK5)</f>
        <v>0</v>
      </c>
      <c r="F8" s="2439"/>
      <c r="G8" s="2439"/>
      <c r="H8" s="2439"/>
      <c r="I8" s="2439"/>
      <c r="J8" s="2439"/>
      <c r="K8" s="2439"/>
      <c r="L8" s="2439"/>
      <c r="M8" s="2439"/>
      <c r="N8" s="2439"/>
      <c r="O8" s="2439"/>
      <c r="P8" s="2439"/>
    </row>
    <row r="9" spans="1:16" ht="14.4">
      <c r="A9" s="1529"/>
      <c r="B9" s="1530"/>
      <c r="C9" s="43" t="s">
        <v>1119</v>
      </c>
      <c r="D9" s="43" t="e">
        <f t="shared" si="0"/>
        <v>#DIV/0!</v>
      </c>
      <c r="E9" s="47">
        <v>0</v>
      </c>
      <c r="F9" s="2439"/>
      <c r="G9" s="2439"/>
      <c r="H9" s="2439"/>
      <c r="I9" s="2439"/>
      <c r="J9" s="2439"/>
      <c r="K9" s="2439"/>
      <c r="L9" s="2439"/>
      <c r="M9" s="2439"/>
      <c r="N9" s="2439"/>
      <c r="O9" s="2439"/>
      <c r="P9" s="2439"/>
    </row>
    <row r="10" spans="1:16" ht="14.4">
      <c r="A10" s="1529"/>
      <c r="B10" s="1530"/>
      <c r="C10" s="43" t="s">
        <v>1128</v>
      </c>
      <c r="D10" s="43" t="e">
        <f t="shared" si="0"/>
        <v>#DIV/0!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t="e">
        <f t="shared" si="0"/>
        <v>#DIV/0!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t="e">
        <f t="shared" si="0"/>
        <v>#DIV/0!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t="e">
        <f t="shared" si="0"/>
        <v>#DIV/0!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t="e">
        <f t="shared" si="0"/>
        <v>#DIV/0!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t="e">
        <f t="shared" si="0"/>
        <v>#DIV/0!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t="e">
        <f>SUM(D8:D15)</f>
        <v>#DIV/0!</v>
      </c>
      <c r="E16" s="48">
        <f>SUM(E8:E15)</f>
        <v>0</v>
      </c>
      <c r="F16" s="2439"/>
      <c r="G16" s="2439"/>
      <c r="H16" s="1531" t="s">
        <v>1135</v>
      </c>
      <c r="I16" s="1532"/>
      <c r="J16" s="1071"/>
      <c r="K16" s="3245" t="s">
        <v>1135</v>
      </c>
      <c r="L16" s="3246"/>
      <c r="M16" s="3246"/>
      <c r="N16" s="3246"/>
      <c r="O16" s="3246"/>
      <c r="P16" s="3247"/>
    </row>
    <row r="17" spans="1:19" ht="14.4">
      <c r="A17" s="1533" t="s">
        <v>1136</v>
      </c>
      <c r="B17" s="1534" t="s">
        <v>1137</v>
      </c>
      <c r="C17" s="1535" t="s">
        <v>1138</v>
      </c>
      <c r="D17" s="1536" t="s">
        <v>1126</v>
      </c>
      <c r="E17" s="1537" t="s">
        <v>1127</v>
      </c>
      <c r="F17" s="1538"/>
      <c r="G17" s="1539"/>
      <c r="H17" s="1540" t="s">
        <v>1139</v>
      </c>
      <c r="I17" s="1541" t="s">
        <v>1124</v>
      </c>
      <c r="J17" s="1071"/>
      <c r="K17" s="3242" t="s">
        <v>1140</v>
      </c>
      <c r="L17" s="3243"/>
      <c r="M17" s="3244"/>
      <c r="N17" s="3242" t="s">
        <v>1141</v>
      </c>
      <c r="O17" s="3243"/>
      <c r="P17" s="3244"/>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6"/>
      <c r="D19" s="43" t="e">
        <f>ROUND($D$3*E19/$E$3,2)</f>
        <v>#DIV/0!</v>
      </c>
      <c r="E19" s="51">
        <f t="shared" ref="E19:E26" si="1">SUM(F19:G19)</f>
        <v>0</v>
      </c>
      <c r="F19" s="2558"/>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ht="14.4">
      <c r="A20" s="1549"/>
      <c r="B20" s="45" t="s">
        <v>1153</v>
      </c>
      <c r="C20" s="3116"/>
      <c r="D20" s="43" t="e">
        <f t="shared" ref="D20:D26" si="6">ROUND($D$3*E20/$E$3,2)</f>
        <v>#DIV/0!</v>
      </c>
      <c r="E20" s="51">
        <f t="shared" si="1"/>
        <v>0</v>
      </c>
      <c r="F20" s="2558"/>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ht="14.4">
      <c r="A21" s="1549"/>
      <c r="B21" s="45" t="s">
        <v>1153</v>
      </c>
      <c r="C21" s="3116"/>
      <c r="D21" s="43" t="e">
        <f t="shared" si="6"/>
        <v>#DIV/0!</v>
      </c>
      <c r="E21" s="51">
        <f t="shared" si="1"/>
        <v>0</v>
      </c>
      <c r="F21" s="2558"/>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ht="14.4">
      <c r="A22" s="1549"/>
      <c r="B22" s="45" t="s">
        <v>1153</v>
      </c>
      <c r="C22" s="3117"/>
      <c r="D22" s="43" t="e">
        <f t="shared" si="6"/>
        <v>#DIV/0!</v>
      </c>
      <c r="E22" s="51">
        <f t="shared" si="1"/>
        <v>0</v>
      </c>
      <c r="F22" s="2559"/>
      <c r="G22" s="2560"/>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ht="14.4">
      <c r="A23" s="1549"/>
      <c r="B23" s="45" t="s">
        <v>1153</v>
      </c>
      <c r="C23" s="3117"/>
      <c r="D23" s="43" t="e">
        <f>ROUND($D$3*E23/$E$3,2)</f>
        <v>#DIV/0!</v>
      </c>
      <c r="E23" s="51">
        <f>SUM(F23:G23)</f>
        <v>0</v>
      </c>
      <c r="F23" s="2559"/>
      <c r="G23" s="2560"/>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ht="14.4">
      <c r="A24" s="1549"/>
      <c r="B24" s="45" t="s">
        <v>1153</v>
      </c>
      <c r="C24" s="3117"/>
      <c r="D24" s="43" t="e">
        <f>ROUND($D$3*E24/$E$3,2)</f>
        <v>#DIV/0!</v>
      </c>
      <c r="E24" s="51">
        <f>SUM(F24:G24)</f>
        <v>0</v>
      </c>
      <c r="F24" s="2559"/>
      <c r="G24" s="2560"/>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ht="14.4">
      <c r="A25" s="1549"/>
      <c r="B25" s="45" t="s">
        <v>1153</v>
      </c>
      <c r="C25" s="3117"/>
      <c r="D25" s="43" t="e">
        <f t="shared" si="6"/>
        <v>#DIV/0!</v>
      </c>
      <c r="E25" s="51">
        <f t="shared" si="1"/>
        <v>0</v>
      </c>
      <c r="F25" s="2559"/>
      <c r="G25" s="2560"/>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ht="14.4">
      <c r="A26" s="1549"/>
      <c r="B26" s="45" t="s">
        <v>1153</v>
      </c>
      <c r="C26" s="53"/>
      <c r="D26" s="43" t="e">
        <f t="shared" si="6"/>
        <v>#DIV/0!</v>
      </c>
      <c r="E26" s="51">
        <f t="shared" si="1"/>
        <v>0</v>
      </c>
      <c r="F26" s="2559"/>
      <c r="G26" s="2560"/>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5" thickBot="1">
      <c r="A27" s="1549"/>
      <c r="B27" s="43"/>
      <c r="C27" s="1554" t="s">
        <v>1154</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ht="14.4">
      <c r="A28" s="1549"/>
      <c r="B28" s="45" t="s">
        <v>1155</v>
      </c>
      <c r="C28" s="54" t="s">
        <v>1156</v>
      </c>
      <c r="D28" s="43" t="e">
        <f>ROUND($D$3*E28/$E$3,2)</f>
        <v>#DIV/0!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t="e">
        <f>ROUND($D$3*E29/$E$3,2)</f>
        <v>#DIV/0!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t="e">
        <f>SUM(D28:D29)</f>
        <v>#DIV/0!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t="e">
        <f>D27+D30</f>
        <v>#DIV/0!</v>
      </c>
      <c r="E31" s="643">
        <f>E27+E30</f>
        <v>0</v>
      </c>
      <c r="F31" s="644">
        <f>F27+F30</f>
        <v>0</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45845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4">
      <c r="A19" s="1596" t="s">
        <v>1211</v>
      </c>
      <c r="B19" s="97"/>
      <c r="C19" s="2561" t="s">
        <v>2301</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4">
      <c r="A20" s="1597" t="s">
        <v>1212</v>
      </c>
      <c r="B20" s="98"/>
      <c r="C20" s="2562" t="s">
        <v>2299</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4">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4">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4">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4"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8">
      <c r="A27" s="1601" t="s">
        <v>1220</v>
      </c>
      <c r="B27" s="101"/>
      <c r="C27" s="2563" t="s">
        <v>2303</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8">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4" thickBot="1">
      <c r="A29" s="1603" t="s">
        <v>1222</v>
      </c>
      <c r="B29" s="105"/>
      <c r="C29" s="2564" t="s">
        <v>2293</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8">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8">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9.4"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4">
      <c r="A33" s="1601" t="s">
        <v>1226</v>
      </c>
      <c r="B33" s="640"/>
      <c r="C33" s="2565" t="s">
        <v>3382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4">
      <c r="A34" s="1602" t="s">
        <v>1227</v>
      </c>
      <c r="B34" s="106"/>
      <c r="C34" s="2565" t="s">
        <v>2294</v>
      </c>
      <c r="D34" s="2460" t="s">
        <v>2300</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4">
      <c r="A35" s="1602" t="s">
        <v>1228</v>
      </c>
      <c r="B35" s="103"/>
      <c r="C35" s="2565" t="s">
        <v>2295</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3400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4">
      <c r="A37" s="1604" t="s">
        <v>1230</v>
      </c>
      <c r="B37" s="108"/>
      <c r="C37" s="2565" t="s">
        <v>3383</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4">
      <c r="A38" s="1602" t="s">
        <v>1231</v>
      </c>
      <c r="B38" s="106"/>
      <c r="C38" s="2565" t="s">
        <v>3384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4" thickBot="1">
      <c r="A40" s="2574" t="s">
        <v>2309</v>
      </c>
      <c r="B40" s="1015" t="e">
        <f ca="1">IF(A40="利息：取LPR",存贷款利率!G1,存贷款利率!G1+C40)</f>
        <v>#VALUE!</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4">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4">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4">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4">
      <c r="A44" s="1607" t="s">
        <v>1236</v>
      </c>
      <c r="B44" s="112"/>
      <c r="C44" s="2565" t="s">
        <v>3385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4">
      <c r="A45" s="1607" t="s">
        <v>1237</v>
      </c>
      <c r="B45" s="110"/>
      <c r="C45" s="2564" t="s">
        <v>2296</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4">
      <c r="A46" s="1607" t="s">
        <v>1238</v>
      </c>
      <c r="B46" s="110"/>
      <c r="C46" s="2564" t="s">
        <v>2297</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2304</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4">
      <c r="A48" s="1609" t="s">
        <v>1240</v>
      </c>
      <c r="B48" s="114"/>
      <c r="C48" s="2564" t="s">
        <v>2296</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2298</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4">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4">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8">
      <c r="A53" s="1602" t="s">
        <v>1245</v>
      </c>
      <c r="B53" s="1611"/>
      <c r="C53" s="2440" t="s">
        <v>1246</v>
      </c>
      <c r="D53" s="2566" t="s">
        <v>2302</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4">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57" t="s">
        <v>2285</v>
      </c>
      <c r="B1" s="3258"/>
      <c r="C1" s="3258"/>
      <c r="D1" s="3258"/>
      <c r="E1" s="3258"/>
      <c r="F1" s="3258"/>
      <c r="G1" s="3258"/>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2280</v>
      </c>
      <c r="D2" s="1595"/>
      <c r="E2" s="2260"/>
      <c r="F2" s="2263"/>
      <c r="G2" s="2262" t="s">
        <v>2281</v>
      </c>
      <c r="H2" s="751"/>
      <c r="I2" s="751"/>
      <c r="J2" s="751"/>
      <c r="K2" s="751"/>
      <c r="L2" s="751"/>
      <c r="M2" s="751"/>
      <c r="N2" s="751"/>
      <c r="O2" s="751"/>
      <c r="P2" s="751"/>
      <c r="Q2" s="751"/>
    </row>
    <row r="3" spans="1:29" ht="48">
      <c r="A3" s="2247" t="s">
        <v>2282</v>
      </c>
      <c r="B3" s="2264" t="s">
        <v>2251</v>
      </c>
      <c r="C3" s="2265" t="s">
        <v>2283</v>
      </c>
      <c r="D3" s="2266"/>
      <c r="E3" s="2248" t="s">
        <v>2282</v>
      </c>
      <c r="F3" s="2267" t="s">
        <v>2252</v>
      </c>
      <c r="G3" s="2268" t="s">
        <v>2284</v>
      </c>
      <c r="H3" s="751"/>
      <c r="I3" s="751"/>
      <c r="J3" s="751"/>
      <c r="K3" s="751"/>
      <c r="L3" s="751"/>
      <c r="M3" s="751"/>
      <c r="N3" s="751"/>
      <c r="O3" s="751"/>
      <c r="P3" s="751"/>
      <c r="Q3" s="751"/>
    </row>
    <row r="4" spans="1:29" ht="37.200000000000003">
      <c r="A4" s="2248"/>
      <c r="B4" s="315" t="s">
        <v>2253</v>
      </c>
      <c r="C4" s="2269" t="s">
        <v>2254</v>
      </c>
      <c r="D4" s="2266"/>
      <c r="E4" s="2270"/>
      <c r="F4" s="1281" t="s">
        <v>2255</v>
      </c>
      <c r="G4" s="2271" t="s">
        <v>2256</v>
      </c>
      <c r="H4" s="751"/>
      <c r="I4" s="751"/>
      <c r="J4" s="751"/>
      <c r="K4" s="751"/>
      <c r="L4" s="751"/>
      <c r="M4" s="751"/>
      <c r="N4" s="751"/>
      <c r="O4" s="751"/>
      <c r="P4" s="751"/>
      <c r="Q4" s="751"/>
    </row>
    <row r="5" spans="1:29" ht="37.200000000000003">
      <c r="A5" s="2248"/>
      <c r="B5" s="315" t="s">
        <v>2257</v>
      </c>
      <c r="C5" s="2269" t="s">
        <v>2258</v>
      </c>
      <c r="D5" s="2266"/>
      <c r="E5" s="2270"/>
      <c r="F5" s="315" t="s">
        <v>2259</v>
      </c>
      <c r="G5" s="2271" t="s">
        <v>2260</v>
      </c>
      <c r="H5" s="751"/>
      <c r="I5" s="751"/>
      <c r="J5" s="751"/>
      <c r="K5" s="751"/>
      <c r="L5" s="751"/>
      <c r="M5" s="751"/>
      <c r="N5" s="751"/>
      <c r="O5" s="751"/>
      <c r="P5" s="751"/>
      <c r="Q5" s="751"/>
    </row>
    <row r="6" spans="1:29" ht="48">
      <c r="A6" s="2248"/>
      <c r="B6" s="315" t="s">
        <v>2261</v>
      </c>
      <c r="C6" s="2271" t="s">
        <v>2256</v>
      </c>
      <c r="D6" s="2266"/>
      <c r="E6" s="2270"/>
      <c r="F6" s="315" t="s">
        <v>2262</v>
      </c>
      <c r="G6" s="2271" t="s">
        <v>2263</v>
      </c>
      <c r="H6" s="751"/>
      <c r="I6" s="751"/>
      <c r="J6" s="751"/>
      <c r="K6" s="751"/>
      <c r="L6" s="751"/>
      <c r="M6" s="751"/>
      <c r="N6" s="751"/>
      <c r="O6" s="751"/>
      <c r="P6" s="751"/>
      <c r="Q6" s="751"/>
    </row>
    <row r="7" spans="1:29" ht="36.6" thickBot="1">
      <c r="A7" s="2248"/>
      <c r="B7" s="315" t="s">
        <v>2259</v>
      </c>
      <c r="C7" s="2271" t="s">
        <v>2260</v>
      </c>
      <c r="D7" s="2245"/>
      <c r="E7" s="2272"/>
      <c r="F7" s="2273" t="s">
        <v>2264</v>
      </c>
      <c r="G7" s="2274" t="s">
        <v>2265</v>
      </c>
      <c r="H7" s="751"/>
      <c r="I7" s="751"/>
      <c r="J7" s="751"/>
      <c r="K7" s="751"/>
      <c r="L7" s="751"/>
      <c r="M7" s="751"/>
      <c r="N7" s="751"/>
      <c r="O7" s="751"/>
      <c r="P7" s="751"/>
      <c r="Q7" s="751"/>
    </row>
    <row r="8" spans="1:29" ht="24">
      <c r="A8" s="2248"/>
      <c r="B8" s="315" t="s">
        <v>2262</v>
      </c>
      <c r="C8" s="2271" t="s">
        <v>2263</v>
      </c>
      <c r="D8" s="2245"/>
      <c r="E8" s="2245"/>
      <c r="F8" s="121"/>
      <c r="G8" s="121"/>
      <c r="H8" s="751"/>
      <c r="I8" s="751"/>
      <c r="J8" s="751"/>
      <c r="K8" s="751"/>
      <c r="L8" s="751"/>
      <c r="M8" s="751"/>
      <c r="N8" s="751"/>
      <c r="O8" s="751"/>
      <c r="P8" s="751"/>
      <c r="Q8" s="751"/>
    </row>
    <row r="9" spans="1:29" ht="24">
      <c r="A9" s="2248"/>
      <c r="B9" s="315" t="s">
        <v>2266</v>
      </c>
      <c r="C9" s="2269" t="s">
        <v>2267</v>
      </c>
      <c r="D9" s="2266"/>
      <c r="E9" s="2245"/>
      <c r="F9" s="121"/>
      <c r="G9" s="121"/>
      <c r="H9" s="751"/>
      <c r="I9" s="751"/>
      <c r="J9" s="751"/>
      <c r="K9" s="751"/>
      <c r="L9" s="751"/>
      <c r="M9" s="751"/>
      <c r="N9" s="751"/>
      <c r="O9" s="751"/>
      <c r="P9" s="751"/>
      <c r="Q9" s="751"/>
    </row>
    <row r="10" spans="1:29" ht="14.4" thickBot="1">
      <c r="A10" s="2249"/>
      <c r="B10" s="2275" t="s">
        <v>2268</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2286</v>
      </c>
      <c r="B13" s="2280"/>
      <c r="C13" s="2280"/>
      <c r="D13" s="2279"/>
      <c r="E13" s="2280"/>
      <c r="F13" s="2280"/>
      <c r="G13" s="2280"/>
    </row>
    <row r="14" spans="1:29" ht="14.4" thickBot="1">
      <c r="A14" s="2285"/>
      <c r="B14" s="2285"/>
      <c r="C14" s="2286" t="s">
        <v>2269</v>
      </c>
      <c r="D14" s="2266"/>
      <c r="E14" s="2287"/>
      <c r="F14" s="2287"/>
      <c r="G14" s="2262" t="s">
        <v>2270</v>
      </c>
    </row>
    <row r="15" spans="1:29" ht="52.8">
      <c r="A15" s="2250" t="s">
        <v>2271</v>
      </c>
      <c r="B15" s="2288" t="s">
        <v>2251</v>
      </c>
      <c r="C15" s="2289" t="str">
        <f>C3</f>
        <v>估价对象周边居住用地比例、居住小区规模和社区发展完善程度，综合评价居住社区成熟度一般</v>
      </c>
      <c r="D15" s="2266"/>
      <c r="E15" s="2251" t="s">
        <v>2272</v>
      </c>
      <c r="F15" s="2288" t="s">
        <v>2273</v>
      </c>
      <c r="G15" s="2290" t="str">
        <f>G3</f>
        <v>估价对象位于XX开发区，园区建设成熟度XX，产业集聚程度XX</v>
      </c>
    </row>
    <row r="16" spans="1:29" ht="39.6">
      <c r="A16" s="2252"/>
      <c r="B16" s="2291" t="s">
        <v>2253</v>
      </c>
      <c r="C16" s="2292" t="str">
        <f>C4</f>
        <v>估价对象位于XX商圈，周边商业氛围成熟，人流量大，商业繁华度好</v>
      </c>
      <c r="D16" s="2266"/>
      <c r="E16" s="2253"/>
      <c r="F16" s="2293" t="s">
        <v>2255</v>
      </c>
      <c r="G16" s="2294" t="str">
        <f>G4</f>
        <v>估价对象周边道路状况、公共交通通达情况、停车便捷程度，综合评价交通便捷度较好</v>
      </c>
    </row>
    <row r="17" spans="1:17" ht="39.6">
      <c r="A17" s="2252"/>
      <c r="B17" s="2291" t="s">
        <v>2257</v>
      </c>
      <c r="C17" s="2292" t="str">
        <f>C5</f>
        <v>估价对象位于XX商圈，周边办公楼项目较多，入驻率高，办公集聚程度较好</v>
      </c>
      <c r="D17" s="2245"/>
      <c r="E17" s="2253"/>
      <c r="F17" s="2293" t="s">
        <v>2274</v>
      </c>
      <c r="G17" s="2295"/>
    </row>
    <row r="18" spans="1:17" ht="52.8">
      <c r="A18" s="2252"/>
      <c r="B18" s="2293" t="s">
        <v>2261</v>
      </c>
      <c r="C18" s="2294" t="str">
        <f>C6</f>
        <v>估价对象周边道路状况、公共交通通达情况、停车便捷程度，综合评价交通便捷度较好</v>
      </c>
      <c r="D18" s="2245"/>
      <c r="E18" s="2253"/>
      <c r="F18" s="2293" t="s">
        <v>2264</v>
      </c>
      <c r="G18" s="2294" t="str">
        <f>G7</f>
        <v>该园区内是否有污染型企业，绿化情况，卫生条件，整体环境状况判断</v>
      </c>
    </row>
    <row r="19" spans="1:17" ht="26.4">
      <c r="A19" s="2252"/>
      <c r="B19" s="2293" t="s">
        <v>2275</v>
      </c>
      <c r="C19" s="2295"/>
      <c r="D19" s="2266"/>
      <c r="E19" s="2253"/>
      <c r="F19" s="315" t="s">
        <v>2259</v>
      </c>
      <c r="G19" s="2294" t="str">
        <f>G5</f>
        <v>估价对象所在区域公共配套设施齐备情况</v>
      </c>
    </row>
    <row r="20" spans="1:17" ht="26.4">
      <c r="A20" s="2252"/>
      <c r="B20" s="2293" t="s">
        <v>2276</v>
      </c>
      <c r="C20" s="2292" t="str">
        <f>C9</f>
        <v>区域自然环境：；人文环境；综合评价环境状况一般</v>
      </c>
      <c r="D20" s="2245"/>
      <c r="E20" s="2253"/>
      <c r="F20" s="315" t="s">
        <v>2262</v>
      </c>
      <c r="G20" s="2294" t="str">
        <f>G6</f>
        <v>估价对象所在区域基础设施水平</v>
      </c>
    </row>
    <row r="21" spans="1:17" ht="26.4">
      <c r="A21" s="2252"/>
      <c r="B21" s="315" t="s">
        <v>2259</v>
      </c>
      <c r="C21" s="2294" t="str">
        <f>C7</f>
        <v>估价对象所在区域公共配套设施齐备情况</v>
      </c>
      <c r="D21" s="2266"/>
      <c r="E21" s="2253"/>
      <c r="F21" s="2293" t="s">
        <v>2277</v>
      </c>
      <c r="G21" s="2296"/>
    </row>
    <row r="22" spans="1:17" ht="13.5" customHeight="1">
      <c r="A22" s="2252"/>
      <c r="B22" s="315" t="s">
        <v>2262</v>
      </c>
      <c r="C22" s="2294" t="str">
        <f>C8</f>
        <v>估价对象所在区域基础设施水平</v>
      </c>
      <c r="D22" s="2266"/>
      <c r="E22" s="2253"/>
      <c r="F22" s="2293" t="s">
        <v>2268</v>
      </c>
      <c r="G22" s="2295"/>
    </row>
    <row r="23" spans="1:17" s="751" customFormat="1" ht="14.4" thickBot="1">
      <c r="A23" s="2252"/>
      <c r="B23" s="2293" t="s">
        <v>2277</v>
      </c>
      <c r="C23" s="2296"/>
      <c r="D23" s="1614"/>
      <c r="E23" s="2254"/>
      <c r="F23" s="2297" t="s">
        <v>2278</v>
      </c>
      <c r="G23" s="2298"/>
      <c r="H23" s="2277"/>
      <c r="I23" s="2277"/>
      <c r="J23" s="2277"/>
      <c r="K23" s="2277"/>
      <c r="L23" s="2277"/>
      <c r="M23" s="2277"/>
      <c r="N23" s="2277"/>
      <c r="O23" s="2277"/>
      <c r="P23" s="2277"/>
      <c r="Q23" s="2277"/>
    </row>
    <row r="24" spans="1:17" s="751" customFormat="1" ht="14.4" thickBot="1">
      <c r="A24" s="2255"/>
      <c r="B24" s="2297" t="s">
        <v>2279</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E15" sqref="E15"/>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49.44</v>
      </c>
      <c r="C1" s="2462"/>
      <c r="D1" s="2462"/>
      <c r="E1" s="2462"/>
      <c r="F1" s="2462"/>
      <c r="G1" s="2463"/>
      <c r="H1" s="2463"/>
      <c r="I1" s="2463"/>
      <c r="J1" s="2463"/>
      <c r="K1" s="2463"/>
    </row>
    <row r="2" spans="1:11" ht="16.2">
      <c r="A2" s="2300" t="s">
        <v>653</v>
      </c>
      <c r="B2" s="2300">
        <f>SUM(C14:C23)</f>
        <v>0</v>
      </c>
      <c r="C2" s="2462"/>
      <c r="D2" s="2462"/>
      <c r="E2" s="2462"/>
      <c r="F2" s="2462"/>
      <c r="G2" s="2463"/>
      <c r="H2" s="2463"/>
      <c r="I2" s="2463"/>
      <c r="J2" s="2463"/>
      <c r="K2" s="2463"/>
    </row>
    <row r="3" spans="1:11" ht="15.6">
      <c r="A3" s="2300" t="s">
        <v>662</v>
      </c>
      <c r="B3" s="2302">
        <f>项目基本情况!D3</f>
        <v>45845</v>
      </c>
      <c r="C3" s="2462"/>
      <c r="D3" s="2462"/>
      <c r="E3" s="2462"/>
      <c r="F3" s="2462"/>
      <c r="G3" s="2463"/>
      <c r="H3" s="2463"/>
      <c r="I3" s="2463"/>
      <c r="J3" s="2463"/>
      <c r="K3" s="2463"/>
    </row>
    <row r="4" spans="1:11" ht="31.2">
      <c r="A4" s="2300" t="s">
        <v>661</v>
      </c>
      <c r="B4" s="2300" t="s">
        <v>660</v>
      </c>
      <c r="C4" s="2300" t="s">
        <v>659</v>
      </c>
      <c r="D4" s="2300" t="s">
        <v>658</v>
      </c>
      <c r="E4" s="2462"/>
      <c r="F4" s="2463"/>
      <c r="G4" s="2463"/>
      <c r="H4" s="2463"/>
      <c r="I4" s="2463"/>
      <c r="J4" s="2463"/>
      <c r="K4" s="2463"/>
    </row>
    <row r="5" spans="1:11" ht="15.6">
      <c r="A5" s="2300" t="s">
        <v>657</v>
      </c>
      <c r="B5" s="2300">
        <f>SUM(D14:D23)</f>
        <v>135</v>
      </c>
      <c r="C5" s="2300">
        <f ca="1">IF(B5=D14,结果表!H102,ROUND(B5*10000/$B$1,0))</f>
        <v>0</v>
      </c>
      <c r="D5" s="2300" t="e">
        <f>ROUND(B5*10000/$B$2,0)</f>
        <v>#DIV/0!</v>
      </c>
      <c r="E5" s="2462"/>
      <c r="F5" s="2463"/>
      <c r="G5" s="2463"/>
      <c r="H5" s="2463"/>
      <c r="I5" s="2463"/>
      <c r="J5" s="2463"/>
      <c r="K5" s="2463"/>
    </row>
    <row r="6" spans="1:11" ht="15.6">
      <c r="A6" s="2300" t="s">
        <v>656</v>
      </c>
      <c r="B6" s="2300">
        <f>SUM(G14:G23)</f>
        <v>135</v>
      </c>
      <c r="C6" s="2300">
        <f ca="1">IF(B6=G14,结果表!H108,ROUND(B6*10000/$B$1,0))</f>
        <v>0</v>
      </c>
      <c r="D6" s="2300" t="e">
        <f>ROUND(B6*10000/$B$2,0)</f>
        <v>#DIV/0!</v>
      </c>
      <c r="E6" s="2462"/>
      <c r="F6" s="2463"/>
      <c r="G6" s="2463"/>
      <c r="H6" s="2463"/>
      <c r="I6" s="2463"/>
      <c r="J6" s="2463"/>
      <c r="K6" s="2463"/>
    </row>
    <row r="7" spans="1:11" ht="15.6">
      <c r="A7" s="2300" t="s">
        <v>664</v>
      </c>
      <c r="B7" s="2300">
        <f>SUM(H14:H23)</f>
        <v>0</v>
      </c>
      <c r="C7" s="2300" t="str">
        <f>IF(B7=H14,结果表!H110,ROUND(B7*10000/$B$1,0))</f>
        <v>——</v>
      </c>
      <c r="D7" s="2300" t="e">
        <f>ROUND(B7*10000/$B$2,0)</f>
        <v>#DIV/0!</v>
      </c>
      <c r="E7" s="2462"/>
      <c r="F7" s="2463"/>
      <c r="G7" s="2463"/>
      <c r="H7" s="2463"/>
      <c r="I7" s="2463"/>
      <c r="J7" s="2463"/>
      <c r="K7" s="2463"/>
    </row>
    <row r="8" spans="1:11" ht="15.6">
      <c r="A8" s="2300" t="s">
        <v>587</v>
      </c>
      <c r="B8" s="2300">
        <f>SUM(I14:I23)</f>
        <v>0</v>
      </c>
      <c r="C8" s="2300" t="str">
        <f>IF(B8=I14,结果表!H112,ROUND(B8*10000/$B$1,0))</f>
        <v>——</v>
      </c>
      <c r="D8" s="2300" t="e">
        <f>ROUND(B8*10000/$B$2,0)</f>
        <v>#DIV/0!</v>
      </c>
      <c r="E8" s="2462"/>
      <c r="F8" s="2463"/>
      <c r="G8" s="2463"/>
      <c r="H8" s="2463"/>
      <c r="I8" s="2463"/>
      <c r="J8" s="2463"/>
      <c r="K8" s="2463"/>
    </row>
    <row r="9" spans="1:11" ht="15.6">
      <c r="A9" s="2300" t="s">
        <v>655</v>
      </c>
      <c r="B9" s="1244"/>
      <c r="C9" s="2462"/>
      <c r="D9" s="2462"/>
      <c r="E9" s="2462"/>
      <c r="F9" s="2463"/>
      <c r="G9" s="2463"/>
      <c r="H9" s="2463"/>
      <c r="I9" s="2463"/>
      <c r="J9" s="2463"/>
      <c r="K9" s="2463"/>
    </row>
    <row r="10" spans="1:11" ht="15.6">
      <c r="A10" s="2300" t="s">
        <v>654</v>
      </c>
      <c r="B10" s="2300">
        <f>IF(E10="",0,ROUND(B1*(E10*365/G10)/10000,0))</f>
        <v>0</v>
      </c>
      <c r="C10" s="2300" t="s">
        <v>3355</v>
      </c>
      <c r="D10" s="2300" t="s">
        <v>3356</v>
      </c>
      <c r="E10" s="3137"/>
      <c r="F10" s="3141" t="s">
        <v>3357</v>
      </c>
      <c r="G10" s="3138"/>
      <c r="H10" s="2463"/>
      <c r="I10" s="2463"/>
      <c r="J10" s="2463"/>
      <c r="K10" s="2463"/>
    </row>
    <row r="11" spans="1:11" ht="15.6">
      <c r="A11" s="2300" t="s">
        <v>670</v>
      </c>
      <c r="B11" s="1244"/>
      <c r="C11" s="2462"/>
      <c r="D11" s="2462"/>
      <c r="E11" s="2462"/>
      <c r="F11" s="2463"/>
      <c r="G11" s="2463"/>
      <c r="H11" s="2463"/>
      <c r="I11" s="2463"/>
      <c r="J11" s="2463"/>
      <c r="K11" s="2463"/>
    </row>
    <row r="12" spans="1:11" ht="15.6">
      <c r="A12" s="2462"/>
      <c r="B12" s="2462"/>
      <c r="C12" s="2462"/>
      <c r="D12" s="2462"/>
      <c r="E12" s="2462"/>
      <c r="F12" s="2463"/>
      <c r="G12" s="2463"/>
      <c r="H12" s="2463"/>
      <c r="I12" s="2463"/>
      <c r="J12" s="2463"/>
      <c r="K12" s="2463"/>
    </row>
    <row r="13" spans="1:11" ht="31.8">
      <c r="A13" s="2303" t="s">
        <v>669</v>
      </c>
      <c r="B13" s="2304" t="s">
        <v>666</v>
      </c>
      <c r="C13" s="2304" t="s">
        <v>668</v>
      </c>
      <c r="D13" s="2304" t="s">
        <v>667</v>
      </c>
      <c r="E13" s="2300" t="s">
        <v>659</v>
      </c>
      <c r="F13" s="2300" t="s">
        <v>658</v>
      </c>
      <c r="G13" s="2304" t="s">
        <v>652</v>
      </c>
      <c r="H13" s="2304" t="s">
        <v>663</v>
      </c>
      <c r="I13" s="2304" t="s">
        <v>651</v>
      </c>
      <c r="J13" s="2463"/>
      <c r="K13" s="2463"/>
    </row>
    <row r="14" spans="1:11" ht="15.6">
      <c r="A14" s="2305" t="s">
        <v>650</v>
      </c>
      <c r="B14" s="2306">
        <f>面积信息价值表!C6</f>
        <v>49.44</v>
      </c>
      <c r="C14" s="2306"/>
      <c r="D14" s="2306">
        <f>面积信息价值表!L6</f>
        <v>135</v>
      </c>
      <c r="E14" s="2306">
        <f>面积信息价值表!K6</f>
        <v>27324</v>
      </c>
      <c r="F14" s="2306" t="e">
        <f>ROUND(D14*10000/C14,0)</f>
        <v>#DIV/0!</v>
      </c>
      <c r="G14" s="2306">
        <f>D14</f>
        <v>135</v>
      </c>
      <c r="H14" s="2306"/>
      <c r="I14" s="2306"/>
      <c r="J14" s="2463"/>
      <c r="K14" s="2463"/>
    </row>
    <row r="15" spans="1:11" ht="15.6">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5.6">
      <c r="A16" s="2305" t="s">
        <v>648</v>
      </c>
      <c r="B16" s="2307"/>
      <c r="C16" s="2307"/>
      <c r="D16" s="2307"/>
      <c r="E16" s="2306" t="e">
        <f t="shared" si="0"/>
        <v>#DIV/0!</v>
      </c>
      <c r="F16" s="2306" t="e">
        <f t="shared" si="1"/>
        <v>#DIV/0!</v>
      </c>
      <c r="G16" s="1244"/>
      <c r="H16" s="1244"/>
      <c r="I16" s="2307"/>
      <c r="J16" s="2463"/>
      <c r="K16" s="2463"/>
    </row>
    <row r="17" spans="1:11" ht="15.6">
      <c r="A17" s="2305" t="s">
        <v>647</v>
      </c>
      <c r="B17" s="2307"/>
      <c r="C17" s="2307"/>
      <c r="D17" s="2307"/>
      <c r="E17" s="2306" t="e">
        <f t="shared" si="0"/>
        <v>#DIV/0!</v>
      </c>
      <c r="F17" s="2306" t="e">
        <f t="shared" si="1"/>
        <v>#DIV/0!</v>
      </c>
      <c r="G17" s="1244"/>
      <c r="H17" s="1244"/>
      <c r="I17" s="2307"/>
      <c r="J17" s="2463"/>
      <c r="K17" s="2463"/>
    </row>
    <row r="18" spans="1:11" ht="15.6">
      <c r="A18" s="2305" t="s">
        <v>646</v>
      </c>
      <c r="B18" s="2307"/>
      <c r="C18" s="2307"/>
      <c r="D18" s="2307"/>
      <c r="E18" s="2306" t="e">
        <f t="shared" si="0"/>
        <v>#DIV/0!</v>
      </c>
      <c r="F18" s="2306" t="e">
        <f t="shared" si="1"/>
        <v>#DIV/0!</v>
      </c>
      <c r="G18" s="2307"/>
      <c r="H18" s="2307"/>
      <c r="I18" s="2307"/>
      <c r="J18" s="2463"/>
      <c r="K18" s="2463"/>
    </row>
    <row r="19" spans="1:11" ht="15.6">
      <c r="A19" s="2305" t="s">
        <v>645</v>
      </c>
      <c r="B19" s="2307"/>
      <c r="C19" s="2307"/>
      <c r="D19" s="2307"/>
      <c r="E19" s="2306" t="e">
        <f t="shared" si="0"/>
        <v>#DIV/0!</v>
      </c>
      <c r="F19" s="2306" t="e">
        <f t="shared" si="1"/>
        <v>#DIV/0!</v>
      </c>
      <c r="G19" s="2307"/>
      <c r="H19" s="2307"/>
      <c r="I19" s="2307"/>
      <c r="J19" s="2463"/>
      <c r="K19" s="2463"/>
    </row>
    <row r="20" spans="1:11" ht="15.6">
      <c r="A20" s="2305" t="s">
        <v>644</v>
      </c>
      <c r="B20" s="2307"/>
      <c r="C20" s="2307"/>
      <c r="D20" s="2307"/>
      <c r="E20" s="2306" t="e">
        <f t="shared" si="0"/>
        <v>#DIV/0!</v>
      </c>
      <c r="F20" s="2306" t="e">
        <f t="shared" si="1"/>
        <v>#DIV/0!</v>
      </c>
      <c r="G20" s="2307"/>
      <c r="H20" s="2307"/>
      <c r="I20" s="2307"/>
      <c r="J20" s="2463"/>
      <c r="K20" s="2463"/>
    </row>
    <row r="21" spans="1:11" ht="15.6">
      <c r="A21" s="2305" t="s">
        <v>643</v>
      </c>
      <c r="B21" s="2307"/>
      <c r="C21" s="2307"/>
      <c r="D21" s="2307"/>
      <c r="E21" s="2306" t="e">
        <f t="shared" si="0"/>
        <v>#DIV/0!</v>
      </c>
      <c r="F21" s="2306" t="e">
        <f t="shared" si="1"/>
        <v>#DIV/0!</v>
      </c>
      <c r="G21" s="2307"/>
      <c r="H21" s="2307"/>
      <c r="I21" s="2307"/>
      <c r="J21" s="2463"/>
      <c r="K21" s="2463"/>
    </row>
    <row r="22" spans="1:11" ht="15.6">
      <c r="A22" s="2305" t="s">
        <v>642</v>
      </c>
      <c r="B22" s="2307"/>
      <c r="C22" s="2307"/>
      <c r="D22" s="2307"/>
      <c r="E22" s="2306" t="e">
        <f t="shared" si="0"/>
        <v>#DIV/0!</v>
      </c>
      <c r="F22" s="2306" t="e">
        <f t="shared" si="1"/>
        <v>#DIV/0!</v>
      </c>
      <c r="G22" s="2307"/>
      <c r="H22" s="2307"/>
      <c r="I22" s="2307"/>
      <c r="J22" s="2463"/>
      <c r="K22" s="2463"/>
    </row>
    <row r="23" spans="1:11" ht="15.6">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34C35-145F-442E-BC22-9106FCE2912B}">
  <sheetPr>
    <tabColor rgb="FF7030A0"/>
  </sheetPr>
  <dimension ref="A1:P9"/>
  <sheetViews>
    <sheetView workbookViewId="0">
      <selection activeCell="N9" sqref="N9"/>
    </sheetView>
  </sheetViews>
  <sheetFormatPr defaultRowHeight="14.4"/>
  <cols>
    <col min="1" max="1" width="32.44140625" customWidth="1"/>
  </cols>
  <sheetData>
    <row r="1" spans="1:16">
      <c r="K1" s="1405" t="s">
        <v>3432</v>
      </c>
    </row>
    <row r="2" spans="1:16">
      <c r="A2" s="1405" t="s">
        <v>3425</v>
      </c>
      <c r="D2" s="3170" t="s">
        <v>3429</v>
      </c>
      <c r="E2" s="3159"/>
      <c r="G2" s="3170" t="s">
        <v>3430</v>
      </c>
      <c r="H2" s="3159"/>
      <c r="I2" s="3159"/>
      <c r="K2" s="3170" t="s">
        <v>3430</v>
      </c>
      <c r="L2" s="3159"/>
      <c r="P2" s="1405" t="s">
        <v>3433</v>
      </c>
    </row>
    <row r="3" spans="1:16">
      <c r="A3" s="1405" t="s">
        <v>3421</v>
      </c>
      <c r="B3" s="1405" t="s">
        <v>3423</v>
      </c>
      <c r="C3" s="1405" t="s">
        <v>3388</v>
      </c>
      <c r="D3" s="3170" t="s">
        <v>3389</v>
      </c>
      <c r="E3" s="3170" t="s">
        <v>3426</v>
      </c>
      <c r="G3" s="3170" t="s">
        <v>3389</v>
      </c>
      <c r="H3" s="3170" t="s">
        <v>3426</v>
      </c>
      <c r="I3" s="3159"/>
      <c r="K3" s="3170" t="s">
        <v>3389</v>
      </c>
      <c r="L3" s="3170" t="s">
        <v>3426</v>
      </c>
    </row>
    <row r="4" spans="1:16">
      <c r="A4" s="1405" t="s">
        <v>3422</v>
      </c>
      <c r="B4">
        <v>216</v>
      </c>
      <c r="C4">
        <v>36.6</v>
      </c>
      <c r="D4" s="3159">
        <v>30071</v>
      </c>
      <c r="E4" s="3159">
        <v>110.06</v>
      </c>
      <c r="G4" s="3159">
        <v>27300</v>
      </c>
      <c r="H4" s="3159">
        <f>典型户型修正!S24</f>
        <v>101</v>
      </c>
      <c r="I4" s="3159">
        <f>1-G4/D4</f>
        <v>9.2148581690000286E-2</v>
      </c>
      <c r="J4">
        <f>G4*1.1</f>
        <v>30030.000000000004</v>
      </c>
      <c r="K4" s="3508">
        <v>27600</v>
      </c>
      <c r="L4" s="3508">
        <f>典型户型修正!S24</f>
        <v>101</v>
      </c>
      <c r="N4">
        <f>K4*1.1</f>
        <v>30360.000000000004</v>
      </c>
    </row>
    <row r="5" spans="1:16">
      <c r="A5" s="1405" t="s">
        <v>3424</v>
      </c>
      <c r="B5">
        <v>217</v>
      </c>
      <c r="C5">
        <v>36.47</v>
      </c>
      <c r="D5" s="3159">
        <v>30071</v>
      </c>
      <c r="E5" s="3159">
        <v>109.67</v>
      </c>
      <c r="G5" s="3159">
        <f>典型户型修正!R25</f>
        <v>27600</v>
      </c>
      <c r="H5" s="3159">
        <f>典型户型修正!S25</f>
        <v>101</v>
      </c>
      <c r="I5" s="3159">
        <f t="shared" ref="I5:I7" si="0">1-G5/D5</f>
        <v>8.2172192477802497E-2</v>
      </c>
      <c r="J5">
        <f t="shared" ref="J5:J7" si="1">G5*1.1</f>
        <v>30360.000000000004</v>
      </c>
      <c r="K5" s="3508">
        <f>典型户型修正!R25</f>
        <v>27600</v>
      </c>
      <c r="L5" s="3508">
        <f>典型户型修正!S25</f>
        <v>101</v>
      </c>
      <c r="N5">
        <f t="shared" ref="N5:N7" si="2">K5*1.1</f>
        <v>30360.000000000004</v>
      </c>
    </row>
    <row r="6" spans="1:16">
      <c r="A6" s="1405" t="s">
        <v>3427</v>
      </c>
      <c r="B6">
        <v>218</v>
      </c>
      <c r="C6">
        <v>49.44</v>
      </c>
      <c r="D6" s="3159">
        <v>29982</v>
      </c>
      <c r="E6" s="3159">
        <v>148.22999999999999</v>
      </c>
      <c r="G6" s="3159">
        <f>典型户型修正!R26</f>
        <v>27324</v>
      </c>
      <c r="H6" s="3159">
        <f>典型户型修正!S26</f>
        <v>135</v>
      </c>
      <c r="I6" s="3159">
        <f t="shared" si="0"/>
        <v>8.8653191915149088E-2</v>
      </c>
      <c r="J6">
        <f t="shared" si="1"/>
        <v>30056.400000000001</v>
      </c>
      <c r="K6" s="3508">
        <f>典型户型修正!R26</f>
        <v>27324</v>
      </c>
      <c r="L6" s="3508">
        <f>典型户型修正!S26</f>
        <v>135</v>
      </c>
      <c r="N6">
        <f t="shared" si="2"/>
        <v>30056.400000000001</v>
      </c>
    </row>
    <row r="7" spans="1:16">
      <c r="A7" s="1405" t="s">
        <v>3428</v>
      </c>
      <c r="B7">
        <v>233</v>
      </c>
      <c r="C7">
        <v>35.200000000000003</v>
      </c>
      <c r="D7" s="3159">
        <v>30071</v>
      </c>
      <c r="E7" s="3159">
        <v>105.85</v>
      </c>
      <c r="G7" s="3159">
        <f>典型户型修正!R27</f>
        <v>27600</v>
      </c>
      <c r="H7" s="3159">
        <f>典型户型修正!S27</f>
        <v>97</v>
      </c>
      <c r="I7" s="3159">
        <f t="shared" si="0"/>
        <v>8.2172192477802497E-2</v>
      </c>
      <c r="J7">
        <f t="shared" si="1"/>
        <v>30360.000000000004</v>
      </c>
      <c r="K7" s="3508">
        <f>典型户型修正!R27</f>
        <v>27600</v>
      </c>
      <c r="L7" s="3508">
        <f>典型户型修正!S27</f>
        <v>97</v>
      </c>
      <c r="N7">
        <f t="shared" si="2"/>
        <v>30360.000000000004</v>
      </c>
    </row>
    <row r="9" spans="1:16">
      <c r="A9" s="1405"/>
      <c r="B9" s="1405"/>
    </row>
  </sheetData>
  <phoneticPr fontId="13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262" t="s">
        <v>2084</v>
      </c>
      <c r="D1" s="3263"/>
      <c r="E1" s="3263"/>
      <c r="F1" s="3263"/>
      <c r="G1" s="3263"/>
      <c r="H1" s="3263"/>
      <c r="I1" s="3263"/>
      <c r="J1" s="3263"/>
      <c r="K1" s="3263"/>
      <c r="L1" s="3263"/>
      <c r="M1" s="3263"/>
      <c r="N1" s="3263"/>
      <c r="O1" s="3263"/>
      <c r="P1" s="3263"/>
      <c r="Q1" s="3263"/>
      <c r="R1" s="3263"/>
      <c r="S1" s="3264"/>
      <c r="T1" s="929" t="s">
        <v>2085</v>
      </c>
    </row>
    <row r="2" spans="1:45" s="625" customFormat="1" ht="26.4">
      <c r="A2" s="930"/>
      <c r="B2" s="622" t="s">
        <v>2086</v>
      </c>
      <c r="C2" s="14" t="str">
        <f t="shared" ref="C2:L2" si="0">C3&amp;"(含)"&amp;"-"&amp;D3</f>
        <v>0(含)-40</v>
      </c>
      <c r="D2" s="623" t="str">
        <f t="shared" si="0"/>
        <v>40(含)-50</v>
      </c>
      <c r="E2" s="623" t="str">
        <f t="shared" si="0"/>
        <v>50(含)-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40</v>
      </c>
      <c r="E3" s="628">
        <v>50</v>
      </c>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v>100</v>
      </c>
      <c r="D4" s="936">
        <f>C4-1</f>
        <v>99</v>
      </c>
      <c r="E4" s="936">
        <f>D4-1</f>
        <v>98</v>
      </c>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f>IF(D20="——",S22,S22-F20)</f>
        <v>434</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f>ROUND(B20*10000/B22,0)</f>
        <v>27519</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157.70999999999998</v>
      </c>
      <c r="C22" s="3259" t="s">
        <v>27</v>
      </c>
      <c r="D22" s="3260"/>
      <c r="E22" s="3260"/>
      <c r="F22" s="3260"/>
      <c r="G22" s="3260"/>
      <c r="H22" s="3260"/>
      <c r="I22" s="3260"/>
      <c r="J22" s="3260"/>
      <c r="K22" s="3260"/>
      <c r="L22" s="3260"/>
      <c r="M22" s="3260"/>
      <c r="N22" s="3260"/>
      <c r="O22" s="3260"/>
      <c r="P22" s="3260"/>
      <c r="Q22" s="3261"/>
      <c r="R22" s="21">
        <f>ROUND(S22*10000/B22,0)</f>
        <v>27519</v>
      </c>
      <c r="S22" s="21">
        <f>SUM(S24:S10000)</f>
        <v>434</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216</v>
      </c>
      <c r="B24" s="633">
        <f>面积信息价值表!C4</f>
        <v>36.6</v>
      </c>
      <c r="C24" s="2571">
        <v>1</v>
      </c>
      <c r="D24" s="2572"/>
      <c r="E24" s="2571">
        <v>1</v>
      </c>
      <c r="F24" s="2572"/>
      <c r="G24" s="2571">
        <v>1</v>
      </c>
      <c r="H24" s="2572"/>
      <c r="I24" s="2571">
        <v>1</v>
      </c>
      <c r="J24" s="2572"/>
      <c r="K24" s="2571">
        <v>1</v>
      </c>
      <c r="L24" s="2572"/>
      <c r="M24" s="2571">
        <v>1</v>
      </c>
      <c r="N24" s="2572"/>
      <c r="O24" s="2571">
        <v>1</v>
      </c>
      <c r="P24" s="2572"/>
      <c r="Q24" s="2571">
        <v>1</v>
      </c>
      <c r="R24" s="633">
        <f>面积信息价值表!K4</f>
        <v>27600</v>
      </c>
      <c r="S24" s="634">
        <f t="shared" ref="S24:S54" si="11">ROUND(R24*B24/10000,0)</f>
        <v>101</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f>面积信息价值表!B5</f>
        <v>217</v>
      </c>
      <c r="B25" s="52">
        <f>面积信息价值表!C5</f>
        <v>36.47</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27600</v>
      </c>
      <c r="S25" s="308">
        <f t="shared" si="11"/>
        <v>101</v>
      </c>
    </row>
    <row r="26" spans="1:45">
      <c r="A26" s="142">
        <f>面积信息价值表!B6</f>
        <v>218</v>
      </c>
      <c r="B26" s="52">
        <f>面积信息价值表!C6</f>
        <v>49.44</v>
      </c>
      <c r="C26" s="21">
        <f t="shared" ref="C26:C89" si="12">IF(B26="",1,(LOOKUP(B26,$3:$3,$4:$4)-LOOKUP($B$24,$3:$3,$4:$4)+100)/100)</f>
        <v>0.99</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27324</v>
      </c>
      <c r="S26" s="308">
        <f t="shared" si="11"/>
        <v>135</v>
      </c>
    </row>
    <row r="27" spans="1:45">
      <c r="A27" s="142">
        <f>面积信息价值表!B7</f>
        <v>233</v>
      </c>
      <c r="B27" s="52">
        <f>面积信息价值表!C7</f>
        <v>35.200000000000003</v>
      </c>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27600</v>
      </c>
      <c r="S27" s="308">
        <f t="shared" si="11"/>
        <v>97</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37"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1" t="str">
        <f>项目基本情况!B1</f>
        <v>北京市房地产抵押价值预评估</v>
      </c>
      <c r="C37" s="3171"/>
      <c r="D37" s="3171"/>
      <c r="E37" s="3171"/>
      <c r="F37" s="3171"/>
      <c r="G37" s="3171"/>
      <c r="H37" s="3171"/>
      <c r="I37" s="317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265" t="s">
        <v>1544</v>
      </c>
    </row>
    <row r="43" spans="1:7" ht="13.5" customHeight="1">
      <c r="A43" s="734" t="s">
        <v>347</v>
      </c>
      <c r="B43" s="207" t="s">
        <v>1545</v>
      </c>
      <c r="C43" s="230" t="e">
        <f ca="1">ROUND(IF('数据-取费表'!B22&lt;=1,C39*F22*'数据-取费表'!B21/2,C39*(POWER((1+F22),'数据-取费表'!B21/2)-1)),0)</f>
        <v>#VALUE!</v>
      </c>
      <c r="D43" s="230"/>
      <c r="E43" s="230"/>
      <c r="F43" s="231"/>
      <c r="G43" s="3266"/>
    </row>
    <row r="44" spans="1:7" ht="13.5" customHeight="1">
      <c r="A44" s="734" t="s">
        <v>348</v>
      </c>
      <c r="B44" s="207" t="s">
        <v>1546</v>
      </c>
      <c r="C44" s="230" t="e">
        <f ca="1">ROUND(IF('数据-取费表'!B22&lt;=1,C40*F22*'数据-取费表'!B21/2,C40*(POWER((1+F22),'数据-取费表'!B21/2)-1)),4)</f>
        <v>#VALUE!</v>
      </c>
      <c r="D44" s="230"/>
      <c r="E44" s="230"/>
      <c r="F44" s="231"/>
      <c r="G44" s="326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3"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265" t="s">
        <v>1591</v>
      </c>
    </row>
    <row r="43" spans="1:7" ht="13.5" customHeight="1">
      <c r="A43" s="734" t="s">
        <v>347</v>
      </c>
      <c r="B43" s="207" t="s">
        <v>1545</v>
      </c>
      <c r="C43" s="230" t="e">
        <f ca="1">ROUND(IF('数据-取费表'!B22&lt;=1,C39*F22*'数据-取费表'!B20/2,C39*(POWER((1+F22),'数据-取费表'!B20/2)-1)),0)</f>
        <v>#VALUE!</v>
      </c>
      <c r="D43" s="230"/>
      <c r="E43" s="230"/>
      <c r="F43" s="231"/>
      <c r="G43" s="3266"/>
    </row>
    <row r="44" spans="1:7" ht="13.5" customHeight="1">
      <c r="A44" s="734" t="s">
        <v>348</v>
      </c>
      <c r="B44" s="207" t="s">
        <v>1546</v>
      </c>
      <c r="C44" s="230" t="e">
        <f ca="1">ROUND(IF('数据-取费表'!B22&lt;=1,C40*F22*'数据-取费表'!B20/2,C40*(POWER((1+F22),'数据-取费表'!B20/2)-1)),4)</f>
        <v>#VALUE!</v>
      </c>
      <c r="D44" s="230"/>
      <c r="E44" s="230"/>
      <c r="F44" s="231"/>
      <c r="G44" s="326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8"/>
      <c r="F1" s="2568"/>
      <c r="G1" s="2449"/>
      <c r="H1" s="2568"/>
      <c r="I1" s="2568"/>
      <c r="J1" s="2568"/>
      <c r="K1" s="2569">
        <f>MATCH(C1,'数据-取费表'!A6:A16,0)+5</f>
        <v>6</v>
      </c>
    </row>
    <row r="2" spans="1:33" ht="18" customHeight="1">
      <c r="A2" s="193" t="s">
        <v>1462</v>
      </c>
      <c r="B2" s="196" t="e">
        <f ca="1">C32</f>
        <v>#VALUE!</v>
      </c>
      <c r="C2" s="268" t="s">
        <v>1595</v>
      </c>
      <c r="D2" s="268"/>
      <c r="E2" s="2568"/>
      <c r="F2" s="2568"/>
      <c r="G2" s="2568"/>
      <c r="H2" s="2568"/>
      <c r="I2" s="2568"/>
      <c r="J2" s="2568"/>
      <c r="K2" s="2568"/>
    </row>
    <row r="3" spans="1:33" ht="18" customHeight="1" thickBot="1">
      <c r="A3" s="195" t="s">
        <v>1464</v>
      </c>
      <c r="B3" s="196" t="e">
        <f ca="1">ROUND(B2*10000/IF(C1="",'数据-汇总表'!E3,INDIRECT("'数据-取费表'!K"&amp;$K$1)),0)</f>
        <v>#VALUE!</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270" t="s">
        <v>694</v>
      </c>
      <c r="C6" s="1011">
        <f ca="1">ROUND(F6*F8*F7*(1-F9)/10000,0)</f>
        <v>0</v>
      </c>
      <c r="D6" s="147" t="s">
        <v>2108</v>
      </c>
      <c r="E6" s="294" t="s">
        <v>696</v>
      </c>
      <c r="F6" s="295">
        <f ca="1">INDIRECT("'数据-取费表'!u"&amp;$G$1)</f>
        <v>0</v>
      </c>
      <c r="G6" s="1292"/>
      <c r="H6" s="1006" t="s">
        <v>398</v>
      </c>
      <c r="I6" s="3270" t="s">
        <v>694</v>
      </c>
      <c r="J6" s="293">
        <f ca="1">ROUND(M6*M8*M7*(1-M9)/10000,0)</f>
        <v>0</v>
      </c>
      <c r="K6" s="147" t="s">
        <v>2107</v>
      </c>
      <c r="L6" s="294" t="s">
        <v>696</v>
      </c>
      <c r="M6" s="295">
        <f ca="1">INDIRECT("'数据-取费表'!z"&amp;$G$1)</f>
        <v>0</v>
      </c>
    </row>
    <row r="7" spans="1:37" ht="18" customHeight="1">
      <c r="A7" s="1010"/>
      <c r="B7" s="3271"/>
      <c r="C7" s="1012"/>
      <c r="D7" s="299"/>
      <c r="E7" s="1013" t="s">
        <v>697</v>
      </c>
      <c r="F7" s="295">
        <f ca="1">IF(INDIRECT("'数据-取费表'!ah"&amp;$G$1)="",INDIRECT("'数据-取费表'!k"&amp;$G$1),INDIRECT("'数据-取费表'!ah"&amp;$G$1))</f>
        <v>0</v>
      </c>
      <c r="G7" s="1292"/>
      <c r="H7" s="296"/>
      <c r="I7" s="3271"/>
      <c r="J7" s="298"/>
      <c r="K7" s="299"/>
      <c r="L7" s="294" t="s">
        <v>697</v>
      </c>
      <c r="M7" s="295">
        <f ca="1">F7</f>
        <v>0</v>
      </c>
    </row>
    <row r="8" spans="1:37" ht="18" customHeight="1">
      <c r="A8" s="296"/>
      <c r="B8" s="3271"/>
      <c r="C8" s="298"/>
      <c r="D8" s="299"/>
      <c r="E8" s="294" t="s">
        <v>698</v>
      </c>
      <c r="F8" s="295">
        <f ca="1">INDIRECT("'数据-取费表'!ai"&amp;$G$1)</f>
        <v>0</v>
      </c>
      <c r="G8" s="1292"/>
      <c r="H8" s="296"/>
      <c r="I8" s="3271"/>
      <c r="J8" s="298"/>
      <c r="K8" s="299"/>
      <c r="L8" s="294" t="s">
        <v>698</v>
      </c>
      <c r="M8" s="295">
        <f ca="1">INDIRECT("'数据-取费表'!ai"&amp;$G$1)</f>
        <v>0</v>
      </c>
    </row>
    <row r="9" spans="1:37" ht="18" customHeight="1">
      <c r="A9" s="296"/>
      <c r="B9" s="3272"/>
      <c r="C9" s="298"/>
      <c r="D9" s="299"/>
      <c r="E9" s="294" t="s">
        <v>699</v>
      </c>
      <c r="F9" s="304">
        <f ca="1">INDIRECT("'数据-取费表'!w"&amp;$G$1)</f>
        <v>0</v>
      </c>
      <c r="G9" s="1292"/>
      <c r="H9" s="296"/>
      <c r="I9" s="327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ROUND(C29*F36,2)</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ROUND(C13*F37,2)</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8"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268" t="s">
        <v>837</v>
      </c>
      <c r="L53" s="3269"/>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6" priority="3">
      <formula>$F$10="自定义"</formula>
    </cfRule>
  </conditionalFormatting>
  <conditionalFormatting sqref="C54">
    <cfRule type="expression" dxfId="135" priority="1">
      <formula>$F$53="自定义"</formula>
    </cfRule>
  </conditionalFormatting>
  <conditionalFormatting sqref="I55 I60">
    <cfRule type="expression" dxfId="134" priority="57">
      <formula>$J$51&gt;$L$48</formula>
    </cfRule>
  </conditionalFormatting>
  <conditionalFormatting sqref="J11">
    <cfRule type="expression" dxfId="133" priority="2">
      <formula>$M$10="自定义"</formula>
    </cfRule>
  </conditionalFormatting>
  <conditionalFormatting sqref="K55 K60">
    <cfRule type="expression" dxfId="13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270" t="s">
        <v>694</v>
      </c>
      <c r="C6" s="1011">
        <f ca="1">ROUND(F6*F8*F7*(1-F9),0)</f>
        <v>0</v>
      </c>
      <c r="D6" s="147" t="s">
        <v>2105</v>
      </c>
      <c r="E6" s="294" t="s">
        <v>696</v>
      </c>
      <c r="F6" s="295">
        <f ca="1">INDIRECT("'数据-取费表'!u"&amp;$G$1)</f>
        <v>0</v>
      </c>
      <c r="G6" s="1292"/>
      <c r="H6" s="1006" t="s">
        <v>398</v>
      </c>
      <c r="I6" s="3270" t="s">
        <v>694</v>
      </c>
      <c r="J6" s="293">
        <f ca="1">ROUND(M6*M8*M7*(1-M9),0)</f>
        <v>0</v>
      </c>
      <c r="K6" s="1284" t="s">
        <v>2106</v>
      </c>
      <c r="L6" s="294" t="s">
        <v>696</v>
      </c>
      <c r="M6" s="295">
        <f ca="1">INDIRECT("'数据-取费表'!z"&amp;$G$1)</f>
        <v>0</v>
      </c>
    </row>
    <row r="7" spans="1:37" ht="18" customHeight="1">
      <c r="A7" s="1010"/>
      <c r="B7" s="3271"/>
      <c r="C7" s="1012"/>
      <c r="D7" s="299"/>
      <c r="E7" s="1013" t="s">
        <v>697</v>
      </c>
      <c r="F7" s="295">
        <f ca="1">IF(INDIRECT("'数据-取费表'!ah"&amp;$G$1)="",INDIRECT("'数据-取费表'!k"&amp;$G$1),INDIRECT("'数据-取费表'!ah"&amp;$G$1))</f>
        <v>0</v>
      </c>
      <c r="G7" s="1292"/>
      <c r="H7" s="296"/>
      <c r="I7" s="3271"/>
      <c r="J7" s="298"/>
      <c r="K7" s="299"/>
      <c r="L7" s="294" t="s">
        <v>697</v>
      </c>
      <c r="M7" s="295">
        <f ca="1">F7</f>
        <v>0</v>
      </c>
    </row>
    <row r="8" spans="1:37" ht="18" customHeight="1">
      <c r="A8" s="296"/>
      <c r="B8" s="3271"/>
      <c r="C8" s="298"/>
      <c r="D8" s="299"/>
      <c r="E8" s="294" t="s">
        <v>698</v>
      </c>
      <c r="F8" s="295">
        <f ca="1">INDIRECT("'数据-取费表'!ai"&amp;$G$1)</f>
        <v>0</v>
      </c>
      <c r="G8" s="1292"/>
      <c r="H8" s="296"/>
      <c r="I8" s="3271"/>
      <c r="J8" s="298"/>
      <c r="K8" s="299"/>
      <c r="L8" s="294" t="s">
        <v>698</v>
      </c>
      <c r="M8" s="295">
        <f ca="1">INDIRECT("'数据-取费表'!ai"&amp;$G$1)</f>
        <v>0</v>
      </c>
    </row>
    <row r="9" spans="1:37" ht="18" customHeight="1">
      <c r="A9" s="296"/>
      <c r="B9" s="3272"/>
      <c r="C9" s="298"/>
      <c r="D9" s="299"/>
      <c r="E9" s="294" t="s">
        <v>699</v>
      </c>
      <c r="F9" s="304">
        <f ca="1">INDIRECT("'数据-取费表'!w"&amp;$G$1)</f>
        <v>0</v>
      </c>
      <c r="G9" s="1292"/>
      <c r="H9" s="296"/>
      <c r="I9" s="327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ROUND(C29*F36,0)</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ROUND(C13*F37,0)</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3351</v>
      </c>
      <c r="B45" s="1307"/>
      <c r="C45" s="1376" t="e">
        <f ca="1">ROUND((C68-C40)/10000,4)</f>
        <v>#VALUE!</v>
      </c>
      <c r="D45" s="3131" t="s">
        <v>3352</v>
      </c>
      <c r="E45" s="1307"/>
      <c r="F45" s="1307"/>
      <c r="O45" s="1310" t="s">
        <v>808</v>
      </c>
      <c r="P45" s="1366"/>
      <c r="Q45" s="1366"/>
      <c r="R45" s="1366"/>
    </row>
    <row r="46" spans="1:18" s="1292" customFormat="1" ht="13.8"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0</v>
      </c>
      <c r="K53" s="3268" t="s">
        <v>837</v>
      </c>
      <c r="L53" s="3269"/>
      <c r="O53" s="1325" t="s">
        <v>409</v>
      </c>
      <c r="P53" s="1326" t="s">
        <v>838</v>
      </c>
      <c r="Q53" s="1327" t="e">
        <f ca="1">Q47+Q48</f>
        <v>#VALUE!</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4" customWidth="1"/>
    <col min="2" max="2" width="8.88671875" style="2594"/>
    <col min="3" max="5" width="12.88671875" style="2594" customWidth="1"/>
    <col min="6" max="6" width="47.44140625" style="2594" customWidth="1"/>
    <col min="7" max="7" width="13" style="2588" customWidth="1"/>
    <col min="8" max="8" width="8.88671875" style="2588"/>
    <col min="9" max="9" width="8.88671875" style="2589"/>
    <col min="10" max="10" width="5.77734375" style="2748" customWidth="1"/>
    <col min="11" max="11" width="11.77734375" style="2748" customWidth="1"/>
    <col min="12" max="13" width="10.77734375" style="2748" customWidth="1"/>
    <col min="14" max="14" width="10" style="2748" customWidth="1"/>
    <col min="15" max="16" width="10.44140625" style="2748" bestFit="1" customWidth="1"/>
    <col min="17" max="17" width="10" style="2748" customWidth="1"/>
    <col min="18" max="18" width="10.109375" style="2748" customWidth="1"/>
    <col min="19" max="19" width="10" style="2748" customWidth="1"/>
    <col min="20" max="20" width="26.109375" style="2748" customWidth="1"/>
    <col min="21" max="21" width="8.88671875" style="2748"/>
    <col min="22" max="22" width="8.88671875" style="2589"/>
    <col min="23" max="256" width="8.88671875" style="2594"/>
    <col min="257" max="257" width="9.44140625" style="2594" customWidth="1"/>
    <col min="258" max="258" width="8.88671875" style="2594"/>
    <col min="259" max="261" width="12.88671875" style="2594" customWidth="1"/>
    <col min="262" max="262" width="47.44140625" style="2594" customWidth="1"/>
    <col min="263" max="263" width="13" style="2594" customWidth="1"/>
    <col min="264" max="265" width="8.88671875" style="2594"/>
    <col min="266" max="266" width="5.77734375" style="2594" customWidth="1"/>
    <col min="267" max="267" width="11.77734375" style="2594" customWidth="1"/>
    <col min="268" max="269" width="10.77734375" style="2594" customWidth="1"/>
    <col min="270" max="270" width="10" style="2594" customWidth="1"/>
    <col min="271" max="272" width="10.44140625" style="2594" bestFit="1" customWidth="1"/>
    <col min="273" max="273" width="10" style="2594" customWidth="1"/>
    <col min="274" max="274" width="10.109375" style="2594" customWidth="1"/>
    <col min="275" max="275" width="10" style="2594" customWidth="1"/>
    <col min="276" max="276" width="26.109375" style="2594" customWidth="1"/>
    <col min="277" max="512" width="8.88671875" style="2594"/>
    <col min="513" max="513" width="9.44140625" style="2594" customWidth="1"/>
    <col min="514" max="514" width="8.88671875" style="2594"/>
    <col min="515" max="517" width="12.88671875" style="2594" customWidth="1"/>
    <col min="518" max="518" width="47.44140625" style="2594" customWidth="1"/>
    <col min="519" max="519" width="13" style="2594" customWidth="1"/>
    <col min="520" max="521" width="8.88671875" style="2594"/>
    <col min="522" max="522" width="5.77734375" style="2594" customWidth="1"/>
    <col min="523" max="523" width="11.77734375" style="2594" customWidth="1"/>
    <col min="524" max="525" width="10.77734375" style="2594" customWidth="1"/>
    <col min="526" max="526" width="10" style="2594" customWidth="1"/>
    <col min="527" max="528" width="10.44140625" style="2594" bestFit="1" customWidth="1"/>
    <col min="529" max="529" width="10" style="2594" customWidth="1"/>
    <col min="530" max="530" width="10.109375" style="2594" customWidth="1"/>
    <col min="531" max="531" width="10" style="2594" customWidth="1"/>
    <col min="532" max="532" width="26.109375" style="2594" customWidth="1"/>
    <col min="533" max="768" width="8.88671875" style="2594"/>
    <col min="769" max="769" width="9.44140625" style="2594" customWidth="1"/>
    <col min="770" max="770" width="8.88671875" style="2594"/>
    <col min="771" max="773" width="12.88671875" style="2594" customWidth="1"/>
    <col min="774" max="774" width="47.44140625" style="2594" customWidth="1"/>
    <col min="775" max="775" width="13" style="2594" customWidth="1"/>
    <col min="776" max="777" width="8.88671875" style="2594"/>
    <col min="778" max="778" width="5.77734375" style="2594" customWidth="1"/>
    <col min="779" max="779" width="11.77734375" style="2594" customWidth="1"/>
    <col min="780" max="781" width="10.77734375" style="2594" customWidth="1"/>
    <col min="782" max="782" width="10" style="2594" customWidth="1"/>
    <col min="783" max="784" width="10.44140625" style="2594" bestFit="1" customWidth="1"/>
    <col min="785" max="785" width="10" style="2594" customWidth="1"/>
    <col min="786" max="786" width="10.109375" style="2594" customWidth="1"/>
    <col min="787" max="787" width="10" style="2594" customWidth="1"/>
    <col min="788" max="788" width="26.109375" style="2594" customWidth="1"/>
    <col min="789" max="1024" width="8.88671875" style="2594"/>
    <col min="1025" max="1025" width="9.44140625" style="2594" customWidth="1"/>
    <col min="1026" max="1026" width="8.88671875" style="2594"/>
    <col min="1027" max="1029" width="12.88671875" style="2594" customWidth="1"/>
    <col min="1030" max="1030" width="47.44140625" style="2594" customWidth="1"/>
    <col min="1031" max="1031" width="13" style="2594" customWidth="1"/>
    <col min="1032" max="1033" width="8.88671875" style="2594"/>
    <col min="1034" max="1034" width="5.77734375" style="2594" customWidth="1"/>
    <col min="1035" max="1035" width="11.77734375" style="2594" customWidth="1"/>
    <col min="1036" max="1037" width="10.77734375" style="2594" customWidth="1"/>
    <col min="1038" max="1038" width="10" style="2594" customWidth="1"/>
    <col min="1039" max="1040" width="10.44140625" style="2594" bestFit="1" customWidth="1"/>
    <col min="1041" max="1041" width="10" style="2594" customWidth="1"/>
    <col min="1042" max="1042" width="10.109375" style="2594" customWidth="1"/>
    <col min="1043" max="1043" width="10" style="2594" customWidth="1"/>
    <col min="1044" max="1044" width="26.109375" style="2594" customWidth="1"/>
    <col min="1045" max="1280" width="8.88671875" style="2594"/>
    <col min="1281" max="1281" width="9.44140625" style="2594" customWidth="1"/>
    <col min="1282" max="1282" width="8.88671875" style="2594"/>
    <col min="1283" max="1285" width="12.88671875" style="2594" customWidth="1"/>
    <col min="1286" max="1286" width="47.44140625" style="2594" customWidth="1"/>
    <col min="1287" max="1287" width="13" style="2594" customWidth="1"/>
    <col min="1288" max="1289" width="8.88671875" style="2594"/>
    <col min="1290" max="1290" width="5.77734375" style="2594" customWidth="1"/>
    <col min="1291" max="1291" width="11.77734375" style="2594" customWidth="1"/>
    <col min="1292" max="1293" width="10.77734375" style="2594" customWidth="1"/>
    <col min="1294" max="1294" width="10" style="2594" customWidth="1"/>
    <col min="1295" max="1296" width="10.44140625" style="2594" bestFit="1" customWidth="1"/>
    <col min="1297" max="1297" width="10" style="2594" customWidth="1"/>
    <col min="1298" max="1298" width="10.109375" style="2594" customWidth="1"/>
    <col min="1299" max="1299" width="10" style="2594" customWidth="1"/>
    <col min="1300" max="1300" width="26.109375" style="2594" customWidth="1"/>
    <col min="1301" max="1536" width="8.88671875" style="2594"/>
    <col min="1537" max="1537" width="9.44140625" style="2594" customWidth="1"/>
    <col min="1538" max="1538" width="8.88671875" style="2594"/>
    <col min="1539" max="1541" width="12.88671875" style="2594" customWidth="1"/>
    <col min="1542" max="1542" width="47.44140625" style="2594" customWidth="1"/>
    <col min="1543" max="1543" width="13" style="2594" customWidth="1"/>
    <col min="1544" max="1545" width="8.88671875" style="2594"/>
    <col min="1546" max="1546" width="5.77734375" style="2594" customWidth="1"/>
    <col min="1547" max="1547" width="11.77734375" style="2594" customWidth="1"/>
    <col min="1548" max="1549" width="10.77734375" style="2594" customWidth="1"/>
    <col min="1550" max="1550" width="10" style="2594" customWidth="1"/>
    <col min="1551" max="1552" width="10.44140625" style="2594" bestFit="1" customWidth="1"/>
    <col min="1553" max="1553" width="10" style="2594" customWidth="1"/>
    <col min="1554" max="1554" width="10.109375" style="2594" customWidth="1"/>
    <col min="1555" max="1555" width="10" style="2594" customWidth="1"/>
    <col min="1556" max="1556" width="26.109375" style="2594" customWidth="1"/>
    <col min="1557" max="1792" width="8.88671875" style="2594"/>
    <col min="1793" max="1793" width="9.44140625" style="2594" customWidth="1"/>
    <col min="1794" max="1794" width="8.88671875" style="2594"/>
    <col min="1795" max="1797" width="12.88671875" style="2594" customWidth="1"/>
    <col min="1798" max="1798" width="47.44140625" style="2594" customWidth="1"/>
    <col min="1799" max="1799" width="13" style="2594" customWidth="1"/>
    <col min="1800" max="1801" width="8.88671875" style="2594"/>
    <col min="1802" max="1802" width="5.77734375" style="2594" customWidth="1"/>
    <col min="1803" max="1803" width="11.77734375" style="2594" customWidth="1"/>
    <col min="1804" max="1805" width="10.77734375" style="2594" customWidth="1"/>
    <col min="1806" max="1806" width="10" style="2594" customWidth="1"/>
    <col min="1807" max="1808" width="10.44140625" style="2594" bestFit="1" customWidth="1"/>
    <col min="1809" max="1809" width="10" style="2594" customWidth="1"/>
    <col min="1810" max="1810" width="10.109375" style="2594" customWidth="1"/>
    <col min="1811" max="1811" width="10" style="2594" customWidth="1"/>
    <col min="1812" max="1812" width="26.109375" style="2594" customWidth="1"/>
    <col min="1813" max="2048" width="8.88671875" style="2594"/>
    <col min="2049" max="2049" width="9.44140625" style="2594" customWidth="1"/>
    <col min="2050" max="2050" width="8.88671875" style="2594"/>
    <col min="2051" max="2053" width="12.88671875" style="2594" customWidth="1"/>
    <col min="2054" max="2054" width="47.44140625" style="2594" customWidth="1"/>
    <col min="2055" max="2055" width="13" style="2594" customWidth="1"/>
    <col min="2056" max="2057" width="8.88671875" style="2594"/>
    <col min="2058" max="2058" width="5.77734375" style="2594" customWidth="1"/>
    <col min="2059" max="2059" width="11.77734375" style="2594" customWidth="1"/>
    <col min="2060" max="2061" width="10.77734375" style="2594" customWidth="1"/>
    <col min="2062" max="2062" width="10" style="2594" customWidth="1"/>
    <col min="2063" max="2064" width="10.44140625" style="2594" bestFit="1" customWidth="1"/>
    <col min="2065" max="2065" width="10" style="2594" customWidth="1"/>
    <col min="2066" max="2066" width="10.109375" style="2594" customWidth="1"/>
    <col min="2067" max="2067" width="10" style="2594" customWidth="1"/>
    <col min="2068" max="2068" width="26.109375" style="2594" customWidth="1"/>
    <col min="2069" max="2304" width="8.88671875" style="2594"/>
    <col min="2305" max="2305" width="9.44140625" style="2594" customWidth="1"/>
    <col min="2306" max="2306" width="8.88671875" style="2594"/>
    <col min="2307" max="2309" width="12.88671875" style="2594" customWidth="1"/>
    <col min="2310" max="2310" width="47.44140625" style="2594" customWidth="1"/>
    <col min="2311" max="2311" width="13" style="2594" customWidth="1"/>
    <col min="2312" max="2313" width="8.88671875" style="2594"/>
    <col min="2314" max="2314" width="5.77734375" style="2594" customWidth="1"/>
    <col min="2315" max="2315" width="11.77734375" style="2594" customWidth="1"/>
    <col min="2316" max="2317" width="10.77734375" style="2594" customWidth="1"/>
    <col min="2318" max="2318" width="10" style="2594" customWidth="1"/>
    <col min="2319" max="2320" width="10.44140625" style="2594" bestFit="1" customWidth="1"/>
    <col min="2321" max="2321" width="10" style="2594" customWidth="1"/>
    <col min="2322" max="2322" width="10.109375" style="2594" customWidth="1"/>
    <col min="2323" max="2323" width="10" style="2594" customWidth="1"/>
    <col min="2324" max="2324" width="26.109375" style="2594" customWidth="1"/>
    <col min="2325" max="2560" width="8.88671875" style="2594"/>
    <col min="2561" max="2561" width="9.44140625" style="2594" customWidth="1"/>
    <col min="2562" max="2562" width="8.88671875" style="2594"/>
    <col min="2563" max="2565" width="12.88671875" style="2594" customWidth="1"/>
    <col min="2566" max="2566" width="47.44140625" style="2594" customWidth="1"/>
    <col min="2567" max="2567" width="13" style="2594" customWidth="1"/>
    <col min="2568" max="2569" width="8.88671875" style="2594"/>
    <col min="2570" max="2570" width="5.77734375" style="2594" customWidth="1"/>
    <col min="2571" max="2571" width="11.77734375" style="2594" customWidth="1"/>
    <col min="2572" max="2573" width="10.77734375" style="2594" customWidth="1"/>
    <col min="2574" max="2574" width="10" style="2594" customWidth="1"/>
    <col min="2575" max="2576" width="10.44140625" style="2594" bestFit="1" customWidth="1"/>
    <col min="2577" max="2577" width="10" style="2594" customWidth="1"/>
    <col min="2578" max="2578" width="10.109375" style="2594" customWidth="1"/>
    <col min="2579" max="2579" width="10" style="2594" customWidth="1"/>
    <col min="2580" max="2580" width="26.109375" style="2594" customWidth="1"/>
    <col min="2581" max="2816" width="8.88671875" style="2594"/>
    <col min="2817" max="2817" width="9.44140625" style="2594" customWidth="1"/>
    <col min="2818" max="2818" width="8.88671875" style="2594"/>
    <col min="2819" max="2821" width="12.88671875" style="2594" customWidth="1"/>
    <col min="2822" max="2822" width="47.44140625" style="2594" customWidth="1"/>
    <col min="2823" max="2823" width="13" style="2594" customWidth="1"/>
    <col min="2824" max="2825" width="8.88671875" style="2594"/>
    <col min="2826" max="2826" width="5.77734375" style="2594" customWidth="1"/>
    <col min="2827" max="2827" width="11.77734375" style="2594" customWidth="1"/>
    <col min="2828" max="2829" width="10.77734375" style="2594" customWidth="1"/>
    <col min="2830" max="2830" width="10" style="2594" customWidth="1"/>
    <col min="2831" max="2832" width="10.44140625" style="2594" bestFit="1" customWidth="1"/>
    <col min="2833" max="2833" width="10" style="2594" customWidth="1"/>
    <col min="2834" max="2834" width="10.109375" style="2594" customWidth="1"/>
    <col min="2835" max="2835" width="10" style="2594" customWidth="1"/>
    <col min="2836" max="2836" width="26.109375" style="2594" customWidth="1"/>
    <col min="2837" max="3072" width="8.88671875" style="2594"/>
    <col min="3073" max="3073" width="9.44140625" style="2594" customWidth="1"/>
    <col min="3074" max="3074" width="8.88671875" style="2594"/>
    <col min="3075" max="3077" width="12.88671875" style="2594" customWidth="1"/>
    <col min="3078" max="3078" width="47.44140625" style="2594" customWidth="1"/>
    <col min="3079" max="3079" width="13" style="2594" customWidth="1"/>
    <col min="3080" max="3081" width="8.88671875" style="2594"/>
    <col min="3082" max="3082" width="5.77734375" style="2594" customWidth="1"/>
    <col min="3083" max="3083" width="11.77734375" style="2594" customWidth="1"/>
    <col min="3084" max="3085" width="10.77734375" style="2594" customWidth="1"/>
    <col min="3086" max="3086" width="10" style="2594" customWidth="1"/>
    <col min="3087" max="3088" width="10.44140625" style="2594" bestFit="1" customWidth="1"/>
    <col min="3089" max="3089" width="10" style="2594" customWidth="1"/>
    <col min="3090" max="3090" width="10.109375" style="2594" customWidth="1"/>
    <col min="3091" max="3091" width="10" style="2594" customWidth="1"/>
    <col min="3092" max="3092" width="26.109375" style="2594" customWidth="1"/>
    <col min="3093" max="3328" width="8.88671875" style="2594"/>
    <col min="3329" max="3329" width="9.44140625" style="2594" customWidth="1"/>
    <col min="3330" max="3330" width="8.88671875" style="2594"/>
    <col min="3331" max="3333" width="12.88671875" style="2594" customWidth="1"/>
    <col min="3334" max="3334" width="47.44140625" style="2594" customWidth="1"/>
    <col min="3335" max="3335" width="13" style="2594" customWidth="1"/>
    <col min="3336" max="3337" width="8.88671875" style="2594"/>
    <col min="3338" max="3338" width="5.77734375" style="2594" customWidth="1"/>
    <col min="3339" max="3339" width="11.77734375" style="2594" customWidth="1"/>
    <col min="3340" max="3341" width="10.77734375" style="2594" customWidth="1"/>
    <col min="3342" max="3342" width="10" style="2594" customWidth="1"/>
    <col min="3343" max="3344" width="10.44140625" style="2594" bestFit="1" customWidth="1"/>
    <col min="3345" max="3345" width="10" style="2594" customWidth="1"/>
    <col min="3346" max="3346" width="10.109375" style="2594" customWidth="1"/>
    <col min="3347" max="3347" width="10" style="2594" customWidth="1"/>
    <col min="3348" max="3348" width="26.109375" style="2594" customWidth="1"/>
    <col min="3349" max="3584" width="8.88671875" style="2594"/>
    <col min="3585" max="3585" width="9.44140625" style="2594" customWidth="1"/>
    <col min="3586" max="3586" width="8.88671875" style="2594"/>
    <col min="3587" max="3589" width="12.88671875" style="2594" customWidth="1"/>
    <col min="3590" max="3590" width="47.44140625" style="2594" customWidth="1"/>
    <col min="3591" max="3591" width="13" style="2594" customWidth="1"/>
    <col min="3592" max="3593" width="8.88671875" style="2594"/>
    <col min="3594" max="3594" width="5.77734375" style="2594" customWidth="1"/>
    <col min="3595" max="3595" width="11.77734375" style="2594" customWidth="1"/>
    <col min="3596" max="3597" width="10.77734375" style="2594" customWidth="1"/>
    <col min="3598" max="3598" width="10" style="2594" customWidth="1"/>
    <col min="3599" max="3600" width="10.44140625" style="2594" bestFit="1" customWidth="1"/>
    <col min="3601" max="3601" width="10" style="2594" customWidth="1"/>
    <col min="3602" max="3602" width="10.109375" style="2594" customWidth="1"/>
    <col min="3603" max="3603" width="10" style="2594" customWidth="1"/>
    <col min="3604" max="3604" width="26.109375" style="2594" customWidth="1"/>
    <col min="3605" max="3840" width="8.88671875" style="2594"/>
    <col min="3841" max="3841" width="9.44140625" style="2594" customWidth="1"/>
    <col min="3842" max="3842" width="8.88671875" style="2594"/>
    <col min="3843" max="3845" width="12.88671875" style="2594" customWidth="1"/>
    <col min="3846" max="3846" width="47.44140625" style="2594" customWidth="1"/>
    <col min="3847" max="3847" width="13" style="2594" customWidth="1"/>
    <col min="3848" max="3849" width="8.88671875" style="2594"/>
    <col min="3850" max="3850" width="5.77734375" style="2594" customWidth="1"/>
    <col min="3851" max="3851" width="11.77734375" style="2594" customWidth="1"/>
    <col min="3852" max="3853" width="10.77734375" style="2594" customWidth="1"/>
    <col min="3854" max="3854" width="10" style="2594" customWidth="1"/>
    <col min="3855" max="3856" width="10.44140625" style="2594" bestFit="1" customWidth="1"/>
    <col min="3857" max="3857" width="10" style="2594" customWidth="1"/>
    <col min="3858" max="3858" width="10.109375" style="2594" customWidth="1"/>
    <col min="3859" max="3859" width="10" style="2594" customWidth="1"/>
    <col min="3860" max="3860" width="26.109375" style="2594" customWidth="1"/>
    <col min="3861" max="4096" width="8.88671875" style="2594"/>
    <col min="4097" max="4097" width="9.44140625" style="2594" customWidth="1"/>
    <col min="4098" max="4098" width="8.88671875" style="2594"/>
    <col min="4099" max="4101" width="12.88671875" style="2594" customWidth="1"/>
    <col min="4102" max="4102" width="47.44140625" style="2594" customWidth="1"/>
    <col min="4103" max="4103" width="13" style="2594" customWidth="1"/>
    <col min="4104" max="4105" width="8.88671875" style="2594"/>
    <col min="4106" max="4106" width="5.77734375" style="2594" customWidth="1"/>
    <col min="4107" max="4107" width="11.77734375" style="2594" customWidth="1"/>
    <col min="4108" max="4109" width="10.77734375" style="2594" customWidth="1"/>
    <col min="4110" max="4110" width="10" style="2594" customWidth="1"/>
    <col min="4111" max="4112" width="10.44140625" style="2594" bestFit="1" customWidth="1"/>
    <col min="4113" max="4113" width="10" style="2594" customWidth="1"/>
    <col min="4114" max="4114" width="10.109375" style="2594" customWidth="1"/>
    <col min="4115" max="4115" width="10" style="2594" customWidth="1"/>
    <col min="4116" max="4116" width="26.109375" style="2594" customWidth="1"/>
    <col min="4117" max="4352" width="8.88671875" style="2594"/>
    <col min="4353" max="4353" width="9.44140625" style="2594" customWidth="1"/>
    <col min="4354" max="4354" width="8.88671875" style="2594"/>
    <col min="4355" max="4357" width="12.88671875" style="2594" customWidth="1"/>
    <col min="4358" max="4358" width="47.44140625" style="2594" customWidth="1"/>
    <col min="4359" max="4359" width="13" style="2594" customWidth="1"/>
    <col min="4360" max="4361" width="8.88671875" style="2594"/>
    <col min="4362" max="4362" width="5.77734375" style="2594" customWidth="1"/>
    <col min="4363" max="4363" width="11.77734375" style="2594" customWidth="1"/>
    <col min="4364" max="4365" width="10.77734375" style="2594" customWidth="1"/>
    <col min="4366" max="4366" width="10" style="2594" customWidth="1"/>
    <col min="4367" max="4368" width="10.44140625" style="2594" bestFit="1" customWidth="1"/>
    <col min="4369" max="4369" width="10" style="2594" customWidth="1"/>
    <col min="4370" max="4370" width="10.109375" style="2594" customWidth="1"/>
    <col min="4371" max="4371" width="10" style="2594" customWidth="1"/>
    <col min="4372" max="4372" width="26.109375" style="2594" customWidth="1"/>
    <col min="4373" max="4608" width="8.88671875" style="2594"/>
    <col min="4609" max="4609" width="9.44140625" style="2594" customWidth="1"/>
    <col min="4610" max="4610" width="8.88671875" style="2594"/>
    <col min="4611" max="4613" width="12.88671875" style="2594" customWidth="1"/>
    <col min="4614" max="4614" width="47.44140625" style="2594" customWidth="1"/>
    <col min="4615" max="4615" width="13" style="2594" customWidth="1"/>
    <col min="4616" max="4617" width="8.88671875" style="2594"/>
    <col min="4618" max="4618" width="5.77734375" style="2594" customWidth="1"/>
    <col min="4619" max="4619" width="11.77734375" style="2594" customWidth="1"/>
    <col min="4620" max="4621" width="10.77734375" style="2594" customWidth="1"/>
    <col min="4622" max="4622" width="10" style="2594" customWidth="1"/>
    <col min="4623" max="4624" width="10.44140625" style="2594" bestFit="1" customWidth="1"/>
    <col min="4625" max="4625" width="10" style="2594" customWidth="1"/>
    <col min="4626" max="4626" width="10.109375" style="2594" customWidth="1"/>
    <col min="4627" max="4627" width="10" style="2594" customWidth="1"/>
    <col min="4628" max="4628" width="26.109375" style="2594" customWidth="1"/>
    <col min="4629" max="4864" width="8.88671875" style="2594"/>
    <col min="4865" max="4865" width="9.44140625" style="2594" customWidth="1"/>
    <col min="4866" max="4866" width="8.88671875" style="2594"/>
    <col min="4867" max="4869" width="12.88671875" style="2594" customWidth="1"/>
    <col min="4870" max="4870" width="47.44140625" style="2594" customWidth="1"/>
    <col min="4871" max="4871" width="13" style="2594" customWidth="1"/>
    <col min="4872" max="4873" width="8.88671875" style="2594"/>
    <col min="4874" max="4874" width="5.77734375" style="2594" customWidth="1"/>
    <col min="4875" max="4875" width="11.77734375" style="2594" customWidth="1"/>
    <col min="4876" max="4877" width="10.77734375" style="2594" customWidth="1"/>
    <col min="4878" max="4878" width="10" style="2594" customWidth="1"/>
    <col min="4879" max="4880" width="10.44140625" style="2594" bestFit="1" customWidth="1"/>
    <col min="4881" max="4881" width="10" style="2594" customWidth="1"/>
    <col min="4882" max="4882" width="10.109375" style="2594" customWidth="1"/>
    <col min="4883" max="4883" width="10" style="2594" customWidth="1"/>
    <col min="4884" max="4884" width="26.109375" style="2594" customWidth="1"/>
    <col min="4885" max="5120" width="8.88671875" style="2594"/>
    <col min="5121" max="5121" width="9.44140625" style="2594" customWidth="1"/>
    <col min="5122" max="5122" width="8.88671875" style="2594"/>
    <col min="5123" max="5125" width="12.88671875" style="2594" customWidth="1"/>
    <col min="5126" max="5126" width="47.44140625" style="2594" customWidth="1"/>
    <col min="5127" max="5127" width="13" style="2594" customWidth="1"/>
    <col min="5128" max="5129" width="8.88671875" style="2594"/>
    <col min="5130" max="5130" width="5.77734375" style="2594" customWidth="1"/>
    <col min="5131" max="5131" width="11.77734375" style="2594" customWidth="1"/>
    <col min="5132" max="5133" width="10.77734375" style="2594" customWidth="1"/>
    <col min="5134" max="5134" width="10" style="2594" customWidth="1"/>
    <col min="5135" max="5136" width="10.44140625" style="2594" bestFit="1" customWidth="1"/>
    <col min="5137" max="5137" width="10" style="2594" customWidth="1"/>
    <col min="5138" max="5138" width="10.109375" style="2594" customWidth="1"/>
    <col min="5139" max="5139" width="10" style="2594" customWidth="1"/>
    <col min="5140" max="5140" width="26.109375" style="2594" customWidth="1"/>
    <col min="5141" max="5376" width="8.88671875" style="2594"/>
    <col min="5377" max="5377" width="9.44140625" style="2594" customWidth="1"/>
    <col min="5378" max="5378" width="8.88671875" style="2594"/>
    <col min="5379" max="5381" width="12.88671875" style="2594" customWidth="1"/>
    <col min="5382" max="5382" width="47.44140625" style="2594" customWidth="1"/>
    <col min="5383" max="5383" width="13" style="2594" customWidth="1"/>
    <col min="5384" max="5385" width="8.88671875" style="2594"/>
    <col min="5386" max="5386" width="5.77734375" style="2594" customWidth="1"/>
    <col min="5387" max="5387" width="11.77734375" style="2594" customWidth="1"/>
    <col min="5388" max="5389" width="10.77734375" style="2594" customWidth="1"/>
    <col min="5390" max="5390" width="10" style="2594" customWidth="1"/>
    <col min="5391" max="5392" width="10.44140625" style="2594" bestFit="1" customWidth="1"/>
    <col min="5393" max="5393" width="10" style="2594" customWidth="1"/>
    <col min="5394" max="5394" width="10.109375" style="2594" customWidth="1"/>
    <col min="5395" max="5395" width="10" style="2594" customWidth="1"/>
    <col min="5396" max="5396" width="26.109375" style="2594" customWidth="1"/>
    <col min="5397" max="5632" width="8.88671875" style="2594"/>
    <col min="5633" max="5633" width="9.44140625" style="2594" customWidth="1"/>
    <col min="5634" max="5634" width="8.88671875" style="2594"/>
    <col min="5635" max="5637" width="12.88671875" style="2594" customWidth="1"/>
    <col min="5638" max="5638" width="47.44140625" style="2594" customWidth="1"/>
    <col min="5639" max="5639" width="13" style="2594" customWidth="1"/>
    <col min="5640" max="5641" width="8.88671875" style="2594"/>
    <col min="5642" max="5642" width="5.77734375" style="2594" customWidth="1"/>
    <col min="5643" max="5643" width="11.77734375" style="2594" customWidth="1"/>
    <col min="5644" max="5645" width="10.77734375" style="2594" customWidth="1"/>
    <col min="5646" max="5646" width="10" style="2594" customWidth="1"/>
    <col min="5647" max="5648" width="10.44140625" style="2594" bestFit="1" customWidth="1"/>
    <col min="5649" max="5649" width="10" style="2594" customWidth="1"/>
    <col min="5650" max="5650" width="10.109375" style="2594" customWidth="1"/>
    <col min="5651" max="5651" width="10" style="2594" customWidth="1"/>
    <col min="5652" max="5652" width="26.109375" style="2594" customWidth="1"/>
    <col min="5653" max="5888" width="8.88671875" style="2594"/>
    <col min="5889" max="5889" width="9.44140625" style="2594" customWidth="1"/>
    <col min="5890" max="5890" width="8.88671875" style="2594"/>
    <col min="5891" max="5893" width="12.88671875" style="2594" customWidth="1"/>
    <col min="5894" max="5894" width="47.44140625" style="2594" customWidth="1"/>
    <col min="5895" max="5895" width="13" style="2594" customWidth="1"/>
    <col min="5896" max="5897" width="8.88671875" style="2594"/>
    <col min="5898" max="5898" width="5.77734375" style="2594" customWidth="1"/>
    <col min="5899" max="5899" width="11.77734375" style="2594" customWidth="1"/>
    <col min="5900" max="5901" width="10.77734375" style="2594" customWidth="1"/>
    <col min="5902" max="5902" width="10" style="2594" customWidth="1"/>
    <col min="5903" max="5904" width="10.44140625" style="2594" bestFit="1" customWidth="1"/>
    <col min="5905" max="5905" width="10" style="2594" customWidth="1"/>
    <col min="5906" max="5906" width="10.109375" style="2594" customWidth="1"/>
    <col min="5907" max="5907" width="10" style="2594" customWidth="1"/>
    <col min="5908" max="5908" width="26.109375" style="2594" customWidth="1"/>
    <col min="5909" max="6144" width="8.88671875" style="2594"/>
    <col min="6145" max="6145" width="9.44140625" style="2594" customWidth="1"/>
    <col min="6146" max="6146" width="8.88671875" style="2594"/>
    <col min="6147" max="6149" width="12.88671875" style="2594" customWidth="1"/>
    <col min="6150" max="6150" width="47.44140625" style="2594" customWidth="1"/>
    <col min="6151" max="6151" width="13" style="2594" customWidth="1"/>
    <col min="6152" max="6153" width="8.88671875" style="2594"/>
    <col min="6154" max="6154" width="5.77734375" style="2594" customWidth="1"/>
    <col min="6155" max="6155" width="11.77734375" style="2594" customWidth="1"/>
    <col min="6156" max="6157" width="10.77734375" style="2594" customWidth="1"/>
    <col min="6158" max="6158" width="10" style="2594" customWidth="1"/>
    <col min="6159" max="6160" width="10.44140625" style="2594" bestFit="1" customWidth="1"/>
    <col min="6161" max="6161" width="10" style="2594" customWidth="1"/>
    <col min="6162" max="6162" width="10.109375" style="2594" customWidth="1"/>
    <col min="6163" max="6163" width="10" style="2594" customWidth="1"/>
    <col min="6164" max="6164" width="26.109375" style="2594" customWidth="1"/>
    <col min="6165" max="6400" width="8.88671875" style="2594"/>
    <col min="6401" max="6401" width="9.44140625" style="2594" customWidth="1"/>
    <col min="6402" max="6402" width="8.88671875" style="2594"/>
    <col min="6403" max="6405" width="12.88671875" style="2594" customWidth="1"/>
    <col min="6406" max="6406" width="47.44140625" style="2594" customWidth="1"/>
    <col min="6407" max="6407" width="13" style="2594" customWidth="1"/>
    <col min="6408" max="6409" width="8.88671875" style="2594"/>
    <col min="6410" max="6410" width="5.77734375" style="2594" customWidth="1"/>
    <col min="6411" max="6411" width="11.77734375" style="2594" customWidth="1"/>
    <col min="6412" max="6413" width="10.77734375" style="2594" customWidth="1"/>
    <col min="6414" max="6414" width="10" style="2594" customWidth="1"/>
    <col min="6415" max="6416" width="10.44140625" style="2594" bestFit="1" customWidth="1"/>
    <col min="6417" max="6417" width="10" style="2594" customWidth="1"/>
    <col min="6418" max="6418" width="10.109375" style="2594" customWidth="1"/>
    <col min="6419" max="6419" width="10" style="2594" customWidth="1"/>
    <col min="6420" max="6420" width="26.109375" style="2594" customWidth="1"/>
    <col min="6421" max="6656" width="8.88671875" style="2594"/>
    <col min="6657" max="6657" width="9.44140625" style="2594" customWidth="1"/>
    <col min="6658" max="6658" width="8.88671875" style="2594"/>
    <col min="6659" max="6661" width="12.88671875" style="2594" customWidth="1"/>
    <col min="6662" max="6662" width="47.44140625" style="2594" customWidth="1"/>
    <col min="6663" max="6663" width="13" style="2594" customWidth="1"/>
    <col min="6664" max="6665" width="8.88671875" style="2594"/>
    <col min="6666" max="6666" width="5.77734375" style="2594" customWidth="1"/>
    <col min="6667" max="6667" width="11.77734375" style="2594" customWidth="1"/>
    <col min="6668" max="6669" width="10.77734375" style="2594" customWidth="1"/>
    <col min="6670" max="6670" width="10" style="2594" customWidth="1"/>
    <col min="6671" max="6672" width="10.44140625" style="2594" bestFit="1" customWidth="1"/>
    <col min="6673" max="6673" width="10" style="2594" customWidth="1"/>
    <col min="6674" max="6674" width="10.109375" style="2594" customWidth="1"/>
    <col min="6675" max="6675" width="10" style="2594" customWidth="1"/>
    <col min="6676" max="6676" width="26.109375" style="2594" customWidth="1"/>
    <col min="6677" max="6912" width="8.88671875" style="2594"/>
    <col min="6913" max="6913" width="9.44140625" style="2594" customWidth="1"/>
    <col min="6914" max="6914" width="8.88671875" style="2594"/>
    <col min="6915" max="6917" width="12.88671875" style="2594" customWidth="1"/>
    <col min="6918" max="6918" width="47.44140625" style="2594" customWidth="1"/>
    <col min="6919" max="6919" width="13" style="2594" customWidth="1"/>
    <col min="6920" max="6921" width="8.88671875" style="2594"/>
    <col min="6922" max="6922" width="5.77734375" style="2594" customWidth="1"/>
    <col min="6923" max="6923" width="11.77734375" style="2594" customWidth="1"/>
    <col min="6924" max="6925" width="10.77734375" style="2594" customWidth="1"/>
    <col min="6926" max="6926" width="10" style="2594" customWidth="1"/>
    <col min="6927" max="6928" width="10.44140625" style="2594" bestFit="1" customWidth="1"/>
    <col min="6929" max="6929" width="10" style="2594" customWidth="1"/>
    <col min="6930" max="6930" width="10.109375" style="2594" customWidth="1"/>
    <col min="6931" max="6931" width="10" style="2594" customWidth="1"/>
    <col min="6932" max="6932" width="26.109375" style="2594" customWidth="1"/>
    <col min="6933" max="7168" width="8.88671875" style="2594"/>
    <col min="7169" max="7169" width="9.44140625" style="2594" customWidth="1"/>
    <col min="7170" max="7170" width="8.88671875" style="2594"/>
    <col min="7171" max="7173" width="12.88671875" style="2594" customWidth="1"/>
    <col min="7174" max="7174" width="47.44140625" style="2594" customWidth="1"/>
    <col min="7175" max="7175" width="13" style="2594" customWidth="1"/>
    <col min="7176" max="7177" width="8.88671875" style="2594"/>
    <col min="7178" max="7178" width="5.77734375" style="2594" customWidth="1"/>
    <col min="7179" max="7179" width="11.77734375" style="2594" customWidth="1"/>
    <col min="7180" max="7181" width="10.77734375" style="2594" customWidth="1"/>
    <col min="7182" max="7182" width="10" style="2594" customWidth="1"/>
    <col min="7183" max="7184" width="10.44140625" style="2594" bestFit="1" customWidth="1"/>
    <col min="7185" max="7185" width="10" style="2594" customWidth="1"/>
    <col min="7186" max="7186" width="10.109375" style="2594" customWidth="1"/>
    <col min="7187" max="7187" width="10" style="2594" customWidth="1"/>
    <col min="7188" max="7188" width="26.109375" style="2594" customWidth="1"/>
    <col min="7189" max="7424" width="8.88671875" style="2594"/>
    <col min="7425" max="7425" width="9.44140625" style="2594" customWidth="1"/>
    <col min="7426" max="7426" width="8.88671875" style="2594"/>
    <col min="7427" max="7429" width="12.88671875" style="2594" customWidth="1"/>
    <col min="7430" max="7430" width="47.44140625" style="2594" customWidth="1"/>
    <col min="7431" max="7431" width="13" style="2594" customWidth="1"/>
    <col min="7432" max="7433" width="8.88671875" style="2594"/>
    <col min="7434" max="7434" width="5.77734375" style="2594" customWidth="1"/>
    <col min="7435" max="7435" width="11.77734375" style="2594" customWidth="1"/>
    <col min="7436" max="7437" width="10.77734375" style="2594" customWidth="1"/>
    <col min="7438" max="7438" width="10" style="2594" customWidth="1"/>
    <col min="7439" max="7440" width="10.44140625" style="2594" bestFit="1" customWidth="1"/>
    <col min="7441" max="7441" width="10" style="2594" customWidth="1"/>
    <col min="7442" max="7442" width="10.109375" style="2594" customWidth="1"/>
    <col min="7443" max="7443" width="10" style="2594" customWidth="1"/>
    <col min="7444" max="7444" width="26.109375" style="2594" customWidth="1"/>
    <col min="7445" max="7680" width="8.88671875" style="2594"/>
    <col min="7681" max="7681" width="9.44140625" style="2594" customWidth="1"/>
    <col min="7682" max="7682" width="8.88671875" style="2594"/>
    <col min="7683" max="7685" width="12.88671875" style="2594" customWidth="1"/>
    <col min="7686" max="7686" width="47.44140625" style="2594" customWidth="1"/>
    <col min="7687" max="7687" width="13" style="2594" customWidth="1"/>
    <col min="7688" max="7689" width="8.88671875" style="2594"/>
    <col min="7690" max="7690" width="5.77734375" style="2594" customWidth="1"/>
    <col min="7691" max="7691" width="11.77734375" style="2594" customWidth="1"/>
    <col min="7692" max="7693" width="10.77734375" style="2594" customWidth="1"/>
    <col min="7694" max="7694" width="10" style="2594" customWidth="1"/>
    <col min="7695" max="7696" width="10.44140625" style="2594" bestFit="1" customWidth="1"/>
    <col min="7697" max="7697" width="10" style="2594" customWidth="1"/>
    <col min="7698" max="7698" width="10.109375" style="2594" customWidth="1"/>
    <col min="7699" max="7699" width="10" style="2594" customWidth="1"/>
    <col min="7700" max="7700" width="26.109375" style="2594" customWidth="1"/>
    <col min="7701" max="7936" width="8.88671875" style="2594"/>
    <col min="7937" max="7937" width="9.44140625" style="2594" customWidth="1"/>
    <col min="7938" max="7938" width="8.88671875" style="2594"/>
    <col min="7939" max="7941" width="12.88671875" style="2594" customWidth="1"/>
    <col min="7942" max="7942" width="47.44140625" style="2594" customWidth="1"/>
    <col min="7943" max="7943" width="13" style="2594" customWidth="1"/>
    <col min="7944" max="7945" width="8.88671875" style="2594"/>
    <col min="7946" max="7946" width="5.77734375" style="2594" customWidth="1"/>
    <col min="7947" max="7947" width="11.77734375" style="2594" customWidth="1"/>
    <col min="7948" max="7949" width="10.77734375" style="2594" customWidth="1"/>
    <col min="7950" max="7950" width="10" style="2594" customWidth="1"/>
    <col min="7951" max="7952" width="10.44140625" style="2594" bestFit="1" customWidth="1"/>
    <col min="7953" max="7953" width="10" style="2594" customWidth="1"/>
    <col min="7954" max="7954" width="10.109375" style="2594" customWidth="1"/>
    <col min="7955" max="7955" width="10" style="2594" customWidth="1"/>
    <col min="7956" max="7956" width="26.109375" style="2594" customWidth="1"/>
    <col min="7957" max="8192" width="8.88671875" style="2594"/>
    <col min="8193" max="8193" width="9.44140625" style="2594" customWidth="1"/>
    <col min="8194" max="8194" width="8.88671875" style="2594"/>
    <col min="8195" max="8197" width="12.88671875" style="2594" customWidth="1"/>
    <col min="8198" max="8198" width="47.44140625" style="2594" customWidth="1"/>
    <col min="8199" max="8199" width="13" style="2594" customWidth="1"/>
    <col min="8200" max="8201" width="8.88671875" style="2594"/>
    <col min="8202" max="8202" width="5.77734375" style="2594" customWidth="1"/>
    <col min="8203" max="8203" width="11.77734375" style="2594" customWidth="1"/>
    <col min="8204" max="8205" width="10.77734375" style="2594" customWidth="1"/>
    <col min="8206" max="8206" width="10" style="2594" customWidth="1"/>
    <col min="8207" max="8208" width="10.44140625" style="2594" bestFit="1" customWidth="1"/>
    <col min="8209" max="8209" width="10" style="2594" customWidth="1"/>
    <col min="8210" max="8210" width="10.109375" style="2594" customWidth="1"/>
    <col min="8211" max="8211" width="10" style="2594" customWidth="1"/>
    <col min="8212" max="8212" width="26.109375" style="2594" customWidth="1"/>
    <col min="8213" max="8448" width="8.88671875" style="2594"/>
    <col min="8449" max="8449" width="9.44140625" style="2594" customWidth="1"/>
    <col min="8450" max="8450" width="8.88671875" style="2594"/>
    <col min="8451" max="8453" width="12.88671875" style="2594" customWidth="1"/>
    <col min="8454" max="8454" width="47.44140625" style="2594" customWidth="1"/>
    <col min="8455" max="8455" width="13" style="2594" customWidth="1"/>
    <col min="8456" max="8457" width="8.88671875" style="2594"/>
    <col min="8458" max="8458" width="5.77734375" style="2594" customWidth="1"/>
    <col min="8459" max="8459" width="11.77734375" style="2594" customWidth="1"/>
    <col min="8460" max="8461" width="10.77734375" style="2594" customWidth="1"/>
    <col min="8462" max="8462" width="10" style="2594" customWidth="1"/>
    <col min="8463" max="8464" width="10.44140625" style="2594" bestFit="1" customWidth="1"/>
    <col min="8465" max="8465" width="10" style="2594" customWidth="1"/>
    <col min="8466" max="8466" width="10.109375" style="2594" customWidth="1"/>
    <col min="8467" max="8467" width="10" style="2594" customWidth="1"/>
    <col min="8468" max="8468" width="26.109375" style="2594" customWidth="1"/>
    <col min="8469" max="8704" width="8.88671875" style="2594"/>
    <col min="8705" max="8705" width="9.44140625" style="2594" customWidth="1"/>
    <col min="8706" max="8706" width="8.88671875" style="2594"/>
    <col min="8707" max="8709" width="12.88671875" style="2594" customWidth="1"/>
    <col min="8710" max="8710" width="47.44140625" style="2594" customWidth="1"/>
    <col min="8711" max="8711" width="13" style="2594" customWidth="1"/>
    <col min="8712" max="8713" width="8.88671875" style="2594"/>
    <col min="8714" max="8714" width="5.77734375" style="2594" customWidth="1"/>
    <col min="8715" max="8715" width="11.77734375" style="2594" customWidth="1"/>
    <col min="8716" max="8717" width="10.77734375" style="2594" customWidth="1"/>
    <col min="8718" max="8718" width="10" style="2594" customWidth="1"/>
    <col min="8719" max="8720" width="10.44140625" style="2594" bestFit="1" customWidth="1"/>
    <col min="8721" max="8721" width="10" style="2594" customWidth="1"/>
    <col min="8722" max="8722" width="10.109375" style="2594" customWidth="1"/>
    <col min="8723" max="8723" width="10" style="2594" customWidth="1"/>
    <col min="8724" max="8724" width="26.109375" style="2594" customWidth="1"/>
    <col min="8725" max="8960" width="8.88671875" style="2594"/>
    <col min="8961" max="8961" width="9.44140625" style="2594" customWidth="1"/>
    <col min="8962" max="8962" width="8.88671875" style="2594"/>
    <col min="8963" max="8965" width="12.88671875" style="2594" customWidth="1"/>
    <col min="8966" max="8966" width="47.44140625" style="2594" customWidth="1"/>
    <col min="8967" max="8967" width="13" style="2594" customWidth="1"/>
    <col min="8968" max="8969" width="8.88671875" style="2594"/>
    <col min="8970" max="8970" width="5.77734375" style="2594" customWidth="1"/>
    <col min="8971" max="8971" width="11.77734375" style="2594" customWidth="1"/>
    <col min="8972" max="8973" width="10.77734375" style="2594" customWidth="1"/>
    <col min="8974" max="8974" width="10" style="2594" customWidth="1"/>
    <col min="8975" max="8976" width="10.44140625" style="2594" bestFit="1" customWidth="1"/>
    <col min="8977" max="8977" width="10" style="2594" customWidth="1"/>
    <col min="8978" max="8978" width="10.109375" style="2594" customWidth="1"/>
    <col min="8979" max="8979" width="10" style="2594" customWidth="1"/>
    <col min="8980" max="8980" width="26.109375" style="2594" customWidth="1"/>
    <col min="8981" max="9216" width="8.88671875" style="2594"/>
    <col min="9217" max="9217" width="9.44140625" style="2594" customWidth="1"/>
    <col min="9218" max="9218" width="8.88671875" style="2594"/>
    <col min="9219" max="9221" width="12.88671875" style="2594" customWidth="1"/>
    <col min="9222" max="9222" width="47.44140625" style="2594" customWidth="1"/>
    <col min="9223" max="9223" width="13" style="2594" customWidth="1"/>
    <col min="9224" max="9225" width="8.88671875" style="2594"/>
    <col min="9226" max="9226" width="5.77734375" style="2594" customWidth="1"/>
    <col min="9227" max="9227" width="11.77734375" style="2594" customWidth="1"/>
    <col min="9228" max="9229" width="10.77734375" style="2594" customWidth="1"/>
    <col min="9230" max="9230" width="10" style="2594" customWidth="1"/>
    <col min="9231" max="9232" width="10.44140625" style="2594" bestFit="1" customWidth="1"/>
    <col min="9233" max="9233" width="10" style="2594" customWidth="1"/>
    <col min="9234" max="9234" width="10.109375" style="2594" customWidth="1"/>
    <col min="9235" max="9235" width="10" style="2594" customWidth="1"/>
    <col min="9236" max="9236" width="26.109375" style="2594" customWidth="1"/>
    <col min="9237" max="9472" width="8.88671875" style="2594"/>
    <col min="9473" max="9473" width="9.44140625" style="2594" customWidth="1"/>
    <col min="9474" max="9474" width="8.88671875" style="2594"/>
    <col min="9475" max="9477" width="12.88671875" style="2594" customWidth="1"/>
    <col min="9478" max="9478" width="47.44140625" style="2594" customWidth="1"/>
    <col min="9479" max="9479" width="13" style="2594" customWidth="1"/>
    <col min="9480" max="9481" width="8.88671875" style="2594"/>
    <col min="9482" max="9482" width="5.77734375" style="2594" customWidth="1"/>
    <col min="9483" max="9483" width="11.77734375" style="2594" customWidth="1"/>
    <col min="9484" max="9485" width="10.77734375" style="2594" customWidth="1"/>
    <col min="9486" max="9486" width="10" style="2594" customWidth="1"/>
    <col min="9487" max="9488" width="10.44140625" style="2594" bestFit="1" customWidth="1"/>
    <col min="9489" max="9489" width="10" style="2594" customWidth="1"/>
    <col min="9490" max="9490" width="10.109375" style="2594" customWidth="1"/>
    <col min="9491" max="9491" width="10" style="2594" customWidth="1"/>
    <col min="9492" max="9492" width="26.109375" style="2594" customWidth="1"/>
    <col min="9493" max="9728" width="8.88671875" style="2594"/>
    <col min="9729" max="9729" width="9.44140625" style="2594" customWidth="1"/>
    <col min="9730" max="9730" width="8.88671875" style="2594"/>
    <col min="9731" max="9733" width="12.88671875" style="2594" customWidth="1"/>
    <col min="9734" max="9734" width="47.44140625" style="2594" customWidth="1"/>
    <col min="9735" max="9735" width="13" style="2594" customWidth="1"/>
    <col min="9736" max="9737" width="8.88671875" style="2594"/>
    <col min="9738" max="9738" width="5.77734375" style="2594" customWidth="1"/>
    <col min="9739" max="9739" width="11.77734375" style="2594" customWidth="1"/>
    <col min="9740" max="9741" width="10.77734375" style="2594" customWidth="1"/>
    <col min="9742" max="9742" width="10" style="2594" customWidth="1"/>
    <col min="9743" max="9744" width="10.44140625" style="2594" bestFit="1" customWidth="1"/>
    <col min="9745" max="9745" width="10" style="2594" customWidth="1"/>
    <col min="9746" max="9746" width="10.109375" style="2594" customWidth="1"/>
    <col min="9747" max="9747" width="10" style="2594" customWidth="1"/>
    <col min="9748" max="9748" width="26.109375" style="2594" customWidth="1"/>
    <col min="9749" max="9984" width="8.88671875" style="2594"/>
    <col min="9985" max="9985" width="9.44140625" style="2594" customWidth="1"/>
    <col min="9986" max="9986" width="8.88671875" style="2594"/>
    <col min="9987" max="9989" width="12.88671875" style="2594" customWidth="1"/>
    <col min="9990" max="9990" width="47.44140625" style="2594" customWidth="1"/>
    <col min="9991" max="9991" width="13" style="2594" customWidth="1"/>
    <col min="9992" max="9993" width="8.88671875" style="2594"/>
    <col min="9994" max="9994" width="5.77734375" style="2594" customWidth="1"/>
    <col min="9995" max="9995" width="11.77734375" style="2594" customWidth="1"/>
    <col min="9996" max="9997" width="10.77734375" style="2594" customWidth="1"/>
    <col min="9998" max="9998" width="10" style="2594" customWidth="1"/>
    <col min="9999" max="10000" width="10.44140625" style="2594" bestFit="1" customWidth="1"/>
    <col min="10001" max="10001" width="10" style="2594" customWidth="1"/>
    <col min="10002" max="10002" width="10.109375" style="2594" customWidth="1"/>
    <col min="10003" max="10003" width="10" style="2594" customWidth="1"/>
    <col min="10004" max="10004" width="26.109375" style="2594" customWidth="1"/>
    <col min="10005" max="10240" width="8.88671875" style="2594"/>
    <col min="10241" max="10241" width="9.44140625" style="2594" customWidth="1"/>
    <col min="10242" max="10242" width="8.88671875" style="2594"/>
    <col min="10243" max="10245" width="12.88671875" style="2594" customWidth="1"/>
    <col min="10246" max="10246" width="47.44140625" style="2594" customWidth="1"/>
    <col min="10247" max="10247" width="13" style="2594" customWidth="1"/>
    <col min="10248" max="10249" width="8.88671875" style="2594"/>
    <col min="10250" max="10250" width="5.77734375" style="2594" customWidth="1"/>
    <col min="10251" max="10251" width="11.77734375" style="2594" customWidth="1"/>
    <col min="10252" max="10253" width="10.77734375" style="2594" customWidth="1"/>
    <col min="10254" max="10254" width="10" style="2594" customWidth="1"/>
    <col min="10255" max="10256" width="10.44140625" style="2594" bestFit="1" customWidth="1"/>
    <col min="10257" max="10257" width="10" style="2594" customWidth="1"/>
    <col min="10258" max="10258" width="10.109375" style="2594" customWidth="1"/>
    <col min="10259" max="10259" width="10" style="2594" customWidth="1"/>
    <col min="10260" max="10260" width="26.109375" style="2594" customWidth="1"/>
    <col min="10261" max="10496" width="8.88671875" style="2594"/>
    <col min="10497" max="10497" width="9.44140625" style="2594" customWidth="1"/>
    <col min="10498" max="10498" width="8.88671875" style="2594"/>
    <col min="10499" max="10501" width="12.88671875" style="2594" customWidth="1"/>
    <col min="10502" max="10502" width="47.44140625" style="2594" customWidth="1"/>
    <col min="10503" max="10503" width="13" style="2594" customWidth="1"/>
    <col min="10504" max="10505" width="8.88671875" style="2594"/>
    <col min="10506" max="10506" width="5.77734375" style="2594" customWidth="1"/>
    <col min="10507" max="10507" width="11.77734375" style="2594" customWidth="1"/>
    <col min="10508" max="10509" width="10.77734375" style="2594" customWidth="1"/>
    <col min="10510" max="10510" width="10" style="2594" customWidth="1"/>
    <col min="10511" max="10512" width="10.44140625" style="2594" bestFit="1" customWidth="1"/>
    <col min="10513" max="10513" width="10" style="2594" customWidth="1"/>
    <col min="10514" max="10514" width="10.109375" style="2594" customWidth="1"/>
    <col min="10515" max="10515" width="10" style="2594" customWidth="1"/>
    <col min="10516" max="10516" width="26.109375" style="2594" customWidth="1"/>
    <col min="10517" max="10752" width="8.88671875" style="2594"/>
    <col min="10753" max="10753" width="9.44140625" style="2594" customWidth="1"/>
    <col min="10754" max="10754" width="8.88671875" style="2594"/>
    <col min="10755" max="10757" width="12.88671875" style="2594" customWidth="1"/>
    <col min="10758" max="10758" width="47.44140625" style="2594" customWidth="1"/>
    <col min="10759" max="10759" width="13" style="2594" customWidth="1"/>
    <col min="10760" max="10761" width="8.88671875" style="2594"/>
    <col min="10762" max="10762" width="5.77734375" style="2594" customWidth="1"/>
    <col min="10763" max="10763" width="11.77734375" style="2594" customWidth="1"/>
    <col min="10764" max="10765" width="10.77734375" style="2594" customWidth="1"/>
    <col min="10766" max="10766" width="10" style="2594" customWidth="1"/>
    <col min="10767" max="10768" width="10.44140625" style="2594" bestFit="1" customWidth="1"/>
    <col min="10769" max="10769" width="10" style="2594" customWidth="1"/>
    <col min="10770" max="10770" width="10.109375" style="2594" customWidth="1"/>
    <col min="10771" max="10771" width="10" style="2594" customWidth="1"/>
    <col min="10772" max="10772" width="26.109375" style="2594" customWidth="1"/>
    <col min="10773" max="11008" width="8.88671875" style="2594"/>
    <col min="11009" max="11009" width="9.44140625" style="2594" customWidth="1"/>
    <col min="11010" max="11010" width="8.88671875" style="2594"/>
    <col min="11011" max="11013" width="12.88671875" style="2594" customWidth="1"/>
    <col min="11014" max="11014" width="47.44140625" style="2594" customWidth="1"/>
    <col min="11015" max="11015" width="13" style="2594" customWidth="1"/>
    <col min="11016" max="11017" width="8.88671875" style="2594"/>
    <col min="11018" max="11018" width="5.77734375" style="2594" customWidth="1"/>
    <col min="11019" max="11019" width="11.77734375" style="2594" customWidth="1"/>
    <col min="11020" max="11021" width="10.77734375" style="2594" customWidth="1"/>
    <col min="11022" max="11022" width="10" style="2594" customWidth="1"/>
    <col min="11023" max="11024" width="10.44140625" style="2594" bestFit="1" customWidth="1"/>
    <col min="11025" max="11025" width="10" style="2594" customWidth="1"/>
    <col min="11026" max="11026" width="10.109375" style="2594" customWidth="1"/>
    <col min="11027" max="11027" width="10" style="2594" customWidth="1"/>
    <col min="11028" max="11028" width="26.109375" style="2594" customWidth="1"/>
    <col min="11029" max="11264" width="8.88671875" style="2594"/>
    <col min="11265" max="11265" width="9.44140625" style="2594" customWidth="1"/>
    <col min="11266" max="11266" width="8.88671875" style="2594"/>
    <col min="11267" max="11269" width="12.88671875" style="2594" customWidth="1"/>
    <col min="11270" max="11270" width="47.44140625" style="2594" customWidth="1"/>
    <col min="11271" max="11271" width="13" style="2594" customWidth="1"/>
    <col min="11272" max="11273" width="8.88671875" style="2594"/>
    <col min="11274" max="11274" width="5.77734375" style="2594" customWidth="1"/>
    <col min="11275" max="11275" width="11.77734375" style="2594" customWidth="1"/>
    <col min="11276" max="11277" width="10.77734375" style="2594" customWidth="1"/>
    <col min="11278" max="11278" width="10" style="2594" customWidth="1"/>
    <col min="11279" max="11280" width="10.44140625" style="2594" bestFit="1" customWidth="1"/>
    <col min="11281" max="11281" width="10" style="2594" customWidth="1"/>
    <col min="11282" max="11282" width="10.109375" style="2594" customWidth="1"/>
    <col min="11283" max="11283" width="10" style="2594" customWidth="1"/>
    <col min="11284" max="11284" width="26.109375" style="2594" customWidth="1"/>
    <col min="11285" max="11520" width="8.88671875" style="2594"/>
    <col min="11521" max="11521" width="9.44140625" style="2594" customWidth="1"/>
    <col min="11522" max="11522" width="8.88671875" style="2594"/>
    <col min="11523" max="11525" width="12.88671875" style="2594" customWidth="1"/>
    <col min="11526" max="11526" width="47.44140625" style="2594" customWidth="1"/>
    <col min="11527" max="11527" width="13" style="2594" customWidth="1"/>
    <col min="11528" max="11529" width="8.88671875" style="2594"/>
    <col min="11530" max="11530" width="5.77734375" style="2594" customWidth="1"/>
    <col min="11531" max="11531" width="11.77734375" style="2594" customWidth="1"/>
    <col min="11532" max="11533" width="10.77734375" style="2594" customWidth="1"/>
    <col min="11534" max="11534" width="10" style="2594" customWidth="1"/>
    <col min="11535" max="11536" width="10.44140625" style="2594" bestFit="1" customWidth="1"/>
    <col min="11537" max="11537" width="10" style="2594" customWidth="1"/>
    <col min="11538" max="11538" width="10.109375" style="2594" customWidth="1"/>
    <col min="11539" max="11539" width="10" style="2594" customWidth="1"/>
    <col min="11540" max="11540" width="26.109375" style="2594" customWidth="1"/>
    <col min="11541" max="11776" width="8.88671875" style="2594"/>
    <col min="11777" max="11777" width="9.44140625" style="2594" customWidth="1"/>
    <col min="11778" max="11778" width="8.88671875" style="2594"/>
    <col min="11779" max="11781" width="12.88671875" style="2594" customWidth="1"/>
    <col min="11782" max="11782" width="47.44140625" style="2594" customWidth="1"/>
    <col min="11783" max="11783" width="13" style="2594" customWidth="1"/>
    <col min="11784" max="11785" width="8.88671875" style="2594"/>
    <col min="11786" max="11786" width="5.77734375" style="2594" customWidth="1"/>
    <col min="11787" max="11787" width="11.77734375" style="2594" customWidth="1"/>
    <col min="11788" max="11789" width="10.77734375" style="2594" customWidth="1"/>
    <col min="11790" max="11790" width="10" style="2594" customWidth="1"/>
    <col min="11791" max="11792" width="10.44140625" style="2594" bestFit="1" customWidth="1"/>
    <col min="11793" max="11793" width="10" style="2594" customWidth="1"/>
    <col min="11794" max="11794" width="10.109375" style="2594" customWidth="1"/>
    <col min="11795" max="11795" width="10" style="2594" customWidth="1"/>
    <col min="11796" max="11796" width="26.109375" style="2594" customWidth="1"/>
    <col min="11797" max="12032" width="8.88671875" style="2594"/>
    <col min="12033" max="12033" width="9.44140625" style="2594" customWidth="1"/>
    <col min="12034" max="12034" width="8.88671875" style="2594"/>
    <col min="12035" max="12037" width="12.88671875" style="2594" customWidth="1"/>
    <col min="12038" max="12038" width="47.44140625" style="2594" customWidth="1"/>
    <col min="12039" max="12039" width="13" style="2594" customWidth="1"/>
    <col min="12040" max="12041" width="8.88671875" style="2594"/>
    <col min="12042" max="12042" width="5.77734375" style="2594" customWidth="1"/>
    <col min="12043" max="12043" width="11.77734375" style="2594" customWidth="1"/>
    <col min="12044" max="12045" width="10.77734375" style="2594" customWidth="1"/>
    <col min="12046" max="12046" width="10" style="2594" customWidth="1"/>
    <col min="12047" max="12048" width="10.44140625" style="2594" bestFit="1" customWidth="1"/>
    <col min="12049" max="12049" width="10" style="2594" customWidth="1"/>
    <col min="12050" max="12050" width="10.109375" style="2594" customWidth="1"/>
    <col min="12051" max="12051" width="10" style="2594" customWidth="1"/>
    <col min="12052" max="12052" width="26.109375" style="2594" customWidth="1"/>
    <col min="12053" max="12288" width="8.88671875" style="2594"/>
    <col min="12289" max="12289" width="9.44140625" style="2594" customWidth="1"/>
    <col min="12290" max="12290" width="8.88671875" style="2594"/>
    <col min="12291" max="12293" width="12.88671875" style="2594" customWidth="1"/>
    <col min="12294" max="12294" width="47.44140625" style="2594" customWidth="1"/>
    <col min="12295" max="12295" width="13" style="2594" customWidth="1"/>
    <col min="12296" max="12297" width="8.88671875" style="2594"/>
    <col min="12298" max="12298" width="5.77734375" style="2594" customWidth="1"/>
    <col min="12299" max="12299" width="11.77734375" style="2594" customWidth="1"/>
    <col min="12300" max="12301" width="10.77734375" style="2594" customWidth="1"/>
    <col min="12302" max="12302" width="10" style="2594" customWidth="1"/>
    <col min="12303" max="12304" width="10.44140625" style="2594" bestFit="1" customWidth="1"/>
    <col min="12305" max="12305" width="10" style="2594" customWidth="1"/>
    <col min="12306" max="12306" width="10.109375" style="2594" customWidth="1"/>
    <col min="12307" max="12307" width="10" style="2594" customWidth="1"/>
    <col min="12308" max="12308" width="26.109375" style="2594" customWidth="1"/>
    <col min="12309" max="12544" width="8.88671875" style="2594"/>
    <col min="12545" max="12545" width="9.44140625" style="2594" customWidth="1"/>
    <col min="12546" max="12546" width="8.88671875" style="2594"/>
    <col min="12547" max="12549" width="12.88671875" style="2594" customWidth="1"/>
    <col min="12550" max="12550" width="47.44140625" style="2594" customWidth="1"/>
    <col min="12551" max="12551" width="13" style="2594" customWidth="1"/>
    <col min="12552" max="12553" width="8.88671875" style="2594"/>
    <col min="12554" max="12554" width="5.77734375" style="2594" customWidth="1"/>
    <col min="12555" max="12555" width="11.77734375" style="2594" customWidth="1"/>
    <col min="12556" max="12557" width="10.77734375" style="2594" customWidth="1"/>
    <col min="12558" max="12558" width="10" style="2594" customWidth="1"/>
    <col min="12559" max="12560" width="10.44140625" style="2594" bestFit="1" customWidth="1"/>
    <col min="12561" max="12561" width="10" style="2594" customWidth="1"/>
    <col min="12562" max="12562" width="10.109375" style="2594" customWidth="1"/>
    <col min="12563" max="12563" width="10" style="2594" customWidth="1"/>
    <col min="12564" max="12564" width="26.109375" style="2594" customWidth="1"/>
    <col min="12565" max="12800" width="8.88671875" style="2594"/>
    <col min="12801" max="12801" width="9.44140625" style="2594" customWidth="1"/>
    <col min="12802" max="12802" width="8.88671875" style="2594"/>
    <col min="12803" max="12805" width="12.88671875" style="2594" customWidth="1"/>
    <col min="12806" max="12806" width="47.44140625" style="2594" customWidth="1"/>
    <col min="12807" max="12807" width="13" style="2594" customWidth="1"/>
    <col min="12808" max="12809" width="8.88671875" style="2594"/>
    <col min="12810" max="12810" width="5.77734375" style="2594" customWidth="1"/>
    <col min="12811" max="12811" width="11.77734375" style="2594" customWidth="1"/>
    <col min="12812" max="12813" width="10.77734375" style="2594" customWidth="1"/>
    <col min="12814" max="12814" width="10" style="2594" customWidth="1"/>
    <col min="12815" max="12816" width="10.44140625" style="2594" bestFit="1" customWidth="1"/>
    <col min="12817" max="12817" width="10" style="2594" customWidth="1"/>
    <col min="12818" max="12818" width="10.109375" style="2594" customWidth="1"/>
    <col min="12819" max="12819" width="10" style="2594" customWidth="1"/>
    <col min="12820" max="12820" width="26.109375" style="2594" customWidth="1"/>
    <col min="12821" max="13056" width="8.88671875" style="2594"/>
    <col min="13057" max="13057" width="9.44140625" style="2594" customWidth="1"/>
    <col min="13058" max="13058" width="8.88671875" style="2594"/>
    <col min="13059" max="13061" width="12.88671875" style="2594" customWidth="1"/>
    <col min="13062" max="13062" width="47.44140625" style="2594" customWidth="1"/>
    <col min="13063" max="13063" width="13" style="2594" customWidth="1"/>
    <col min="13064" max="13065" width="8.88671875" style="2594"/>
    <col min="13066" max="13066" width="5.77734375" style="2594" customWidth="1"/>
    <col min="13067" max="13067" width="11.77734375" style="2594" customWidth="1"/>
    <col min="13068" max="13069" width="10.77734375" style="2594" customWidth="1"/>
    <col min="13070" max="13070" width="10" style="2594" customWidth="1"/>
    <col min="13071" max="13072" width="10.44140625" style="2594" bestFit="1" customWidth="1"/>
    <col min="13073" max="13073" width="10" style="2594" customWidth="1"/>
    <col min="13074" max="13074" width="10.109375" style="2594" customWidth="1"/>
    <col min="13075" max="13075" width="10" style="2594" customWidth="1"/>
    <col min="13076" max="13076" width="26.109375" style="2594" customWidth="1"/>
    <col min="13077" max="13312" width="8.88671875" style="2594"/>
    <col min="13313" max="13313" width="9.44140625" style="2594" customWidth="1"/>
    <col min="13314" max="13314" width="8.88671875" style="2594"/>
    <col min="13315" max="13317" width="12.88671875" style="2594" customWidth="1"/>
    <col min="13318" max="13318" width="47.44140625" style="2594" customWidth="1"/>
    <col min="13319" max="13319" width="13" style="2594" customWidth="1"/>
    <col min="13320" max="13321" width="8.88671875" style="2594"/>
    <col min="13322" max="13322" width="5.77734375" style="2594" customWidth="1"/>
    <col min="13323" max="13323" width="11.77734375" style="2594" customWidth="1"/>
    <col min="13324" max="13325" width="10.77734375" style="2594" customWidth="1"/>
    <col min="13326" max="13326" width="10" style="2594" customWidth="1"/>
    <col min="13327" max="13328" width="10.44140625" style="2594" bestFit="1" customWidth="1"/>
    <col min="13329" max="13329" width="10" style="2594" customWidth="1"/>
    <col min="13330" max="13330" width="10.109375" style="2594" customWidth="1"/>
    <col min="13331" max="13331" width="10" style="2594" customWidth="1"/>
    <col min="13332" max="13332" width="26.109375" style="2594" customWidth="1"/>
    <col min="13333" max="13568" width="8.88671875" style="2594"/>
    <col min="13569" max="13569" width="9.44140625" style="2594" customWidth="1"/>
    <col min="13570" max="13570" width="8.88671875" style="2594"/>
    <col min="13571" max="13573" width="12.88671875" style="2594" customWidth="1"/>
    <col min="13574" max="13574" width="47.44140625" style="2594" customWidth="1"/>
    <col min="13575" max="13575" width="13" style="2594" customWidth="1"/>
    <col min="13576" max="13577" width="8.88671875" style="2594"/>
    <col min="13578" max="13578" width="5.77734375" style="2594" customWidth="1"/>
    <col min="13579" max="13579" width="11.77734375" style="2594" customWidth="1"/>
    <col min="13580" max="13581" width="10.77734375" style="2594" customWidth="1"/>
    <col min="13582" max="13582" width="10" style="2594" customWidth="1"/>
    <col min="13583" max="13584" width="10.44140625" style="2594" bestFit="1" customWidth="1"/>
    <col min="13585" max="13585" width="10" style="2594" customWidth="1"/>
    <col min="13586" max="13586" width="10.109375" style="2594" customWidth="1"/>
    <col min="13587" max="13587" width="10" style="2594" customWidth="1"/>
    <col min="13588" max="13588" width="26.109375" style="2594" customWidth="1"/>
    <col min="13589" max="13824" width="8.88671875" style="2594"/>
    <col min="13825" max="13825" width="9.44140625" style="2594" customWidth="1"/>
    <col min="13826" max="13826" width="8.88671875" style="2594"/>
    <col min="13827" max="13829" width="12.88671875" style="2594" customWidth="1"/>
    <col min="13830" max="13830" width="47.44140625" style="2594" customWidth="1"/>
    <col min="13831" max="13831" width="13" style="2594" customWidth="1"/>
    <col min="13832" max="13833" width="8.88671875" style="2594"/>
    <col min="13834" max="13834" width="5.77734375" style="2594" customWidth="1"/>
    <col min="13835" max="13835" width="11.77734375" style="2594" customWidth="1"/>
    <col min="13836" max="13837" width="10.77734375" style="2594" customWidth="1"/>
    <col min="13838" max="13838" width="10" style="2594" customWidth="1"/>
    <col min="13839" max="13840" width="10.44140625" style="2594" bestFit="1" customWidth="1"/>
    <col min="13841" max="13841" width="10" style="2594" customWidth="1"/>
    <col min="13842" max="13842" width="10.109375" style="2594" customWidth="1"/>
    <col min="13843" max="13843" width="10" style="2594" customWidth="1"/>
    <col min="13844" max="13844" width="26.109375" style="2594" customWidth="1"/>
    <col min="13845" max="14080" width="8.88671875" style="2594"/>
    <col min="14081" max="14081" width="9.44140625" style="2594" customWidth="1"/>
    <col min="14082" max="14082" width="8.88671875" style="2594"/>
    <col min="14083" max="14085" width="12.88671875" style="2594" customWidth="1"/>
    <col min="14086" max="14086" width="47.44140625" style="2594" customWidth="1"/>
    <col min="14087" max="14087" width="13" style="2594" customWidth="1"/>
    <col min="14088" max="14089" width="8.88671875" style="2594"/>
    <col min="14090" max="14090" width="5.77734375" style="2594" customWidth="1"/>
    <col min="14091" max="14091" width="11.77734375" style="2594" customWidth="1"/>
    <col min="14092" max="14093" width="10.77734375" style="2594" customWidth="1"/>
    <col min="14094" max="14094" width="10" style="2594" customWidth="1"/>
    <col min="14095" max="14096" width="10.44140625" style="2594" bestFit="1" customWidth="1"/>
    <col min="14097" max="14097" width="10" style="2594" customWidth="1"/>
    <col min="14098" max="14098" width="10.109375" style="2594" customWidth="1"/>
    <col min="14099" max="14099" width="10" style="2594" customWidth="1"/>
    <col min="14100" max="14100" width="26.109375" style="2594" customWidth="1"/>
    <col min="14101" max="14336" width="8.88671875" style="2594"/>
    <col min="14337" max="14337" width="9.44140625" style="2594" customWidth="1"/>
    <col min="14338" max="14338" width="8.88671875" style="2594"/>
    <col min="14339" max="14341" width="12.88671875" style="2594" customWidth="1"/>
    <col min="14342" max="14342" width="47.44140625" style="2594" customWidth="1"/>
    <col min="14343" max="14343" width="13" style="2594" customWidth="1"/>
    <col min="14344" max="14345" width="8.88671875" style="2594"/>
    <col min="14346" max="14346" width="5.77734375" style="2594" customWidth="1"/>
    <col min="14347" max="14347" width="11.77734375" style="2594" customWidth="1"/>
    <col min="14348" max="14349" width="10.77734375" style="2594" customWidth="1"/>
    <col min="14350" max="14350" width="10" style="2594" customWidth="1"/>
    <col min="14351" max="14352" width="10.44140625" style="2594" bestFit="1" customWidth="1"/>
    <col min="14353" max="14353" width="10" style="2594" customWidth="1"/>
    <col min="14354" max="14354" width="10.109375" style="2594" customWidth="1"/>
    <col min="14355" max="14355" width="10" style="2594" customWidth="1"/>
    <col min="14356" max="14356" width="26.109375" style="2594" customWidth="1"/>
    <col min="14357" max="14592" width="8.88671875" style="2594"/>
    <col min="14593" max="14593" width="9.44140625" style="2594" customWidth="1"/>
    <col min="14594" max="14594" width="8.88671875" style="2594"/>
    <col min="14595" max="14597" width="12.88671875" style="2594" customWidth="1"/>
    <col min="14598" max="14598" width="47.44140625" style="2594" customWidth="1"/>
    <col min="14599" max="14599" width="13" style="2594" customWidth="1"/>
    <col min="14600" max="14601" width="8.88671875" style="2594"/>
    <col min="14602" max="14602" width="5.77734375" style="2594" customWidth="1"/>
    <col min="14603" max="14603" width="11.77734375" style="2594" customWidth="1"/>
    <col min="14604" max="14605" width="10.77734375" style="2594" customWidth="1"/>
    <col min="14606" max="14606" width="10" style="2594" customWidth="1"/>
    <col min="14607" max="14608" width="10.44140625" style="2594" bestFit="1" customWidth="1"/>
    <col min="14609" max="14609" width="10" style="2594" customWidth="1"/>
    <col min="14610" max="14610" width="10.109375" style="2594" customWidth="1"/>
    <col min="14611" max="14611" width="10" style="2594" customWidth="1"/>
    <col min="14612" max="14612" width="26.109375" style="2594" customWidth="1"/>
    <col min="14613" max="14848" width="8.88671875" style="2594"/>
    <col min="14849" max="14849" width="9.44140625" style="2594" customWidth="1"/>
    <col min="14850" max="14850" width="8.88671875" style="2594"/>
    <col min="14851" max="14853" width="12.88671875" style="2594" customWidth="1"/>
    <col min="14854" max="14854" width="47.44140625" style="2594" customWidth="1"/>
    <col min="14855" max="14855" width="13" style="2594" customWidth="1"/>
    <col min="14856" max="14857" width="8.88671875" style="2594"/>
    <col min="14858" max="14858" width="5.77734375" style="2594" customWidth="1"/>
    <col min="14859" max="14859" width="11.77734375" style="2594" customWidth="1"/>
    <col min="14860" max="14861" width="10.77734375" style="2594" customWidth="1"/>
    <col min="14862" max="14862" width="10" style="2594" customWidth="1"/>
    <col min="14863" max="14864" width="10.44140625" style="2594" bestFit="1" customWidth="1"/>
    <col min="14865" max="14865" width="10" style="2594" customWidth="1"/>
    <col min="14866" max="14866" width="10.109375" style="2594" customWidth="1"/>
    <col min="14867" max="14867" width="10" style="2594" customWidth="1"/>
    <col min="14868" max="14868" width="26.109375" style="2594" customWidth="1"/>
    <col min="14869" max="15104" width="8.88671875" style="2594"/>
    <col min="15105" max="15105" width="9.44140625" style="2594" customWidth="1"/>
    <col min="15106" max="15106" width="8.88671875" style="2594"/>
    <col min="15107" max="15109" width="12.88671875" style="2594" customWidth="1"/>
    <col min="15110" max="15110" width="47.44140625" style="2594" customWidth="1"/>
    <col min="15111" max="15111" width="13" style="2594" customWidth="1"/>
    <col min="15112" max="15113" width="8.88671875" style="2594"/>
    <col min="15114" max="15114" width="5.77734375" style="2594" customWidth="1"/>
    <col min="15115" max="15115" width="11.77734375" style="2594" customWidth="1"/>
    <col min="15116" max="15117" width="10.77734375" style="2594" customWidth="1"/>
    <col min="15118" max="15118" width="10" style="2594" customWidth="1"/>
    <col min="15119" max="15120" width="10.44140625" style="2594" bestFit="1" customWidth="1"/>
    <col min="15121" max="15121" width="10" style="2594" customWidth="1"/>
    <col min="15122" max="15122" width="10.109375" style="2594" customWidth="1"/>
    <col min="15123" max="15123" width="10" style="2594" customWidth="1"/>
    <col min="15124" max="15124" width="26.109375" style="2594" customWidth="1"/>
    <col min="15125" max="15360" width="8.88671875" style="2594"/>
    <col min="15361" max="15361" width="9.44140625" style="2594" customWidth="1"/>
    <col min="15362" max="15362" width="8.88671875" style="2594"/>
    <col min="15363" max="15365" width="12.88671875" style="2594" customWidth="1"/>
    <col min="15366" max="15366" width="47.44140625" style="2594" customWidth="1"/>
    <col min="15367" max="15367" width="13" style="2594" customWidth="1"/>
    <col min="15368" max="15369" width="8.88671875" style="2594"/>
    <col min="15370" max="15370" width="5.77734375" style="2594" customWidth="1"/>
    <col min="15371" max="15371" width="11.77734375" style="2594" customWidth="1"/>
    <col min="15372" max="15373" width="10.77734375" style="2594" customWidth="1"/>
    <col min="15374" max="15374" width="10" style="2594" customWidth="1"/>
    <col min="15375" max="15376" width="10.44140625" style="2594" bestFit="1" customWidth="1"/>
    <col min="15377" max="15377" width="10" style="2594" customWidth="1"/>
    <col min="15378" max="15378" width="10.109375" style="2594" customWidth="1"/>
    <col min="15379" max="15379" width="10" style="2594" customWidth="1"/>
    <col min="15380" max="15380" width="26.109375" style="2594" customWidth="1"/>
    <col min="15381" max="15616" width="8.88671875" style="2594"/>
    <col min="15617" max="15617" width="9.44140625" style="2594" customWidth="1"/>
    <col min="15618" max="15618" width="8.88671875" style="2594"/>
    <col min="15619" max="15621" width="12.88671875" style="2594" customWidth="1"/>
    <col min="15622" max="15622" width="47.44140625" style="2594" customWidth="1"/>
    <col min="15623" max="15623" width="13" style="2594" customWidth="1"/>
    <col min="15624" max="15625" width="8.88671875" style="2594"/>
    <col min="15626" max="15626" width="5.77734375" style="2594" customWidth="1"/>
    <col min="15627" max="15627" width="11.77734375" style="2594" customWidth="1"/>
    <col min="15628" max="15629" width="10.77734375" style="2594" customWidth="1"/>
    <col min="15630" max="15630" width="10" style="2594" customWidth="1"/>
    <col min="15631" max="15632" width="10.44140625" style="2594" bestFit="1" customWidth="1"/>
    <col min="15633" max="15633" width="10" style="2594" customWidth="1"/>
    <col min="15634" max="15634" width="10.109375" style="2594" customWidth="1"/>
    <col min="15635" max="15635" width="10" style="2594" customWidth="1"/>
    <col min="15636" max="15636" width="26.109375" style="2594" customWidth="1"/>
    <col min="15637" max="15872" width="8.88671875" style="2594"/>
    <col min="15873" max="15873" width="9.44140625" style="2594" customWidth="1"/>
    <col min="15874" max="15874" width="8.88671875" style="2594"/>
    <col min="15875" max="15877" width="12.88671875" style="2594" customWidth="1"/>
    <col min="15878" max="15878" width="47.44140625" style="2594" customWidth="1"/>
    <col min="15879" max="15879" width="13" style="2594" customWidth="1"/>
    <col min="15880" max="15881" width="8.88671875" style="2594"/>
    <col min="15882" max="15882" width="5.77734375" style="2594" customWidth="1"/>
    <col min="15883" max="15883" width="11.77734375" style="2594" customWidth="1"/>
    <col min="15884" max="15885" width="10.77734375" style="2594" customWidth="1"/>
    <col min="15886" max="15886" width="10" style="2594" customWidth="1"/>
    <col min="15887" max="15888" width="10.44140625" style="2594" bestFit="1" customWidth="1"/>
    <col min="15889" max="15889" width="10" style="2594" customWidth="1"/>
    <col min="15890" max="15890" width="10.109375" style="2594" customWidth="1"/>
    <col min="15891" max="15891" width="10" style="2594" customWidth="1"/>
    <col min="15892" max="15892" width="26.109375" style="2594" customWidth="1"/>
    <col min="15893" max="16128" width="8.88671875" style="2594"/>
    <col min="16129" max="16129" width="9.44140625" style="2594" customWidth="1"/>
    <col min="16130" max="16130" width="8.88671875" style="2594"/>
    <col min="16131" max="16133" width="12.88671875" style="2594" customWidth="1"/>
    <col min="16134" max="16134" width="47.44140625" style="2594" customWidth="1"/>
    <col min="16135" max="16135" width="13" style="2594" customWidth="1"/>
    <col min="16136" max="16137" width="8.88671875" style="2594"/>
    <col min="16138" max="16138" width="5.77734375" style="2594" customWidth="1"/>
    <col min="16139" max="16139" width="11.77734375" style="2594" customWidth="1"/>
    <col min="16140" max="16141" width="10.77734375" style="2594" customWidth="1"/>
    <col min="16142" max="16142" width="10" style="2594" customWidth="1"/>
    <col min="16143" max="16144" width="10.44140625" style="2594" bestFit="1" customWidth="1"/>
    <col min="16145" max="16145" width="10" style="2594" customWidth="1"/>
    <col min="16146" max="16146" width="10.109375" style="2594" customWidth="1"/>
    <col min="16147" max="16147" width="10" style="2594" customWidth="1"/>
    <col min="16148" max="16148" width="26.109375" style="2594" customWidth="1"/>
    <col min="16149" max="16384" width="8.88671875" style="2594"/>
  </cols>
  <sheetData>
    <row r="1" spans="1:22" ht="21" customHeight="1">
      <c r="A1" s="2583" t="s">
        <v>2434</v>
      </c>
      <c r="B1" s="2584"/>
      <c r="C1" s="2596"/>
      <c r="D1" s="2596"/>
      <c r="E1" s="2585"/>
      <c r="F1" s="2586"/>
      <c r="G1" s="2587"/>
      <c r="J1" s="2590" t="s">
        <v>2313</v>
      </c>
      <c r="K1" s="2591"/>
      <c r="L1" s="2591"/>
      <c r="M1" s="2591"/>
      <c r="N1" s="2591"/>
      <c r="O1" s="2591"/>
      <c r="P1" s="2591"/>
      <c r="Q1" s="2591"/>
      <c r="R1" s="2592"/>
      <c r="S1" s="2593"/>
      <c r="T1" s="2593"/>
      <c r="U1" s="2593"/>
    </row>
    <row r="2" spans="1:22" s="2605" customFormat="1" ht="13.2" customHeight="1">
      <c r="A2" s="1293" t="s">
        <v>2314</v>
      </c>
      <c r="B2" s="2595" t="e">
        <f>IF(D2="——",C40,C40+E2)</f>
        <v>#DIV/0!</v>
      </c>
      <c r="C2" s="2596" t="s">
        <v>2315</v>
      </c>
      <c r="D2" s="3139" t="s">
        <v>3358</v>
      </c>
      <c r="E2" s="3140"/>
      <c r="F2" s="2598"/>
      <c r="G2" s="2599"/>
      <c r="H2" s="2600"/>
      <c r="I2" s="2601"/>
      <c r="J2" s="3279" t="s">
        <v>2316</v>
      </c>
      <c r="K2" s="3280"/>
      <c r="L2" s="2602" t="s">
        <v>2317</v>
      </c>
      <c r="M2" s="2602" t="s">
        <v>2318</v>
      </c>
      <c r="N2" s="2602" t="s">
        <v>2319</v>
      </c>
      <c r="O2" s="2602" t="s">
        <v>2320</v>
      </c>
      <c r="P2" s="2602" t="s">
        <v>2321</v>
      </c>
      <c r="Q2" s="2603" t="s">
        <v>2322</v>
      </c>
      <c r="R2" s="2604" t="s">
        <v>2323</v>
      </c>
      <c r="S2" s="2593"/>
      <c r="T2" s="2593"/>
      <c r="U2" s="2593"/>
      <c r="V2" s="2601"/>
    </row>
    <row r="3" spans="1:22" s="2605" customFormat="1" ht="13.2" customHeight="1">
      <c r="A3" s="2606" t="s">
        <v>2324</v>
      </c>
      <c r="B3" s="2607" t="e">
        <f>ROUND(B2*10000/B4,0)</f>
        <v>#DIV/0!</v>
      </c>
      <c r="C3" s="2596" t="s">
        <v>2325</v>
      </c>
      <c r="D3" s="2596"/>
      <c r="E3" s="2597"/>
      <c r="F3" s="2598"/>
      <c r="G3" s="2599"/>
      <c r="H3" s="2600"/>
      <c r="I3" s="2601"/>
      <c r="J3" s="3281" t="s">
        <v>2326</v>
      </c>
      <c r="K3" s="3282"/>
      <c r="L3" s="2608"/>
      <c r="M3" s="2608"/>
      <c r="N3" s="2608"/>
      <c r="O3" s="2608"/>
      <c r="P3" s="2608"/>
      <c r="Q3" s="2609"/>
      <c r="R3" s="2610">
        <f>SUM(L3:Q3)</f>
        <v>0</v>
      </c>
      <c r="S3" s="2593"/>
      <c r="T3" s="2593"/>
      <c r="U3" s="2593"/>
      <c r="V3" s="2601"/>
    </row>
    <row r="4" spans="1:22" s="2605" customFormat="1" ht="13.2" customHeight="1">
      <c r="A4" s="2611" t="s">
        <v>2327</v>
      </c>
      <c r="B4" s="2612"/>
      <c r="C4" s="2596"/>
      <c r="D4" s="2596"/>
      <c r="E4" s="2597"/>
      <c r="F4" s="2598"/>
      <c r="G4" s="2599"/>
      <c r="H4" s="2600"/>
      <c r="I4" s="2601"/>
      <c r="J4" s="3281" t="s">
        <v>2328</v>
      </c>
      <c r="K4" s="3282"/>
      <c r="L4" s="2613"/>
      <c r="M4" s="2613"/>
      <c r="N4" s="2613"/>
      <c r="O4" s="2613"/>
      <c r="P4" s="2613"/>
      <c r="Q4" s="2614"/>
      <c r="R4" s="2615">
        <f>SUM(L4:Q4)</f>
        <v>0</v>
      </c>
      <c r="S4" s="2593"/>
      <c r="T4" s="2593"/>
      <c r="U4" s="2593"/>
      <c r="V4" s="2601"/>
    </row>
    <row r="5" spans="1:22" s="2605" customFormat="1" ht="13.2" customHeight="1" thickBot="1">
      <c r="A5" s="2616" t="s">
        <v>2329</v>
      </c>
      <c r="B5" s="2617"/>
      <c r="C5" s="2596"/>
      <c r="D5" s="2618"/>
      <c r="E5" s="2598"/>
      <c r="F5" s="2598"/>
      <c r="G5" s="2599"/>
      <c r="H5" s="2600"/>
      <c r="I5" s="2601"/>
      <c r="J5" s="2619" t="s">
        <v>2330</v>
      </c>
      <c r="K5" s="2620"/>
      <c r="L5" s="2620"/>
      <c r="M5" s="2621"/>
      <c r="N5" s="2621"/>
      <c r="O5" s="2621"/>
      <c r="P5" s="2621"/>
      <c r="Q5" s="2621"/>
      <c r="R5" s="2604">
        <f>SUM(R14,R19,R24,R25,R27,R28)</f>
        <v>0</v>
      </c>
      <c r="S5" s="2593"/>
      <c r="T5" s="2593" t="s">
        <v>2331</v>
      </c>
      <c r="U5" s="2593" t="e">
        <f>ROUND(R5*10000/365/R3,1)</f>
        <v>#DIV/0!</v>
      </c>
      <c r="V5" s="2601"/>
    </row>
    <row r="6" spans="1:22" s="2605" customFormat="1" ht="13.2" customHeight="1" thickBot="1">
      <c r="A6" s="3287" t="s">
        <v>2332</v>
      </c>
      <c r="B6" s="3288"/>
      <c r="C6" s="3289"/>
      <c r="D6" s="2622"/>
      <c r="E6" s="2623"/>
      <c r="F6" s="2624"/>
      <c r="G6" s="2625"/>
      <c r="H6" s="2600"/>
      <c r="I6" s="2601"/>
      <c r="J6" s="3273">
        <v>1</v>
      </c>
      <c r="K6" s="3274" t="s">
        <v>2333</v>
      </c>
      <c r="L6" s="2626" t="s">
        <v>2334</v>
      </c>
      <c r="M6" s="2627" t="s">
        <v>2335</v>
      </c>
      <c r="N6" s="2627" t="s">
        <v>2336</v>
      </c>
      <c r="O6" s="2627" t="s">
        <v>2337</v>
      </c>
      <c r="P6" s="2627" t="s">
        <v>2338</v>
      </c>
      <c r="Q6" s="2627" t="s">
        <v>2339</v>
      </c>
      <c r="R6" s="2610" t="s">
        <v>2340</v>
      </c>
      <c r="S6" s="2593"/>
      <c r="T6" s="2593" t="s">
        <v>2341</v>
      </c>
      <c r="U6" s="2593"/>
      <c r="V6" s="2601"/>
    </row>
    <row r="7" spans="1:22" s="2605" customFormat="1" ht="13.2" customHeight="1">
      <c r="A7" s="2628" t="s">
        <v>2342</v>
      </c>
      <c r="B7" s="2629"/>
      <c r="C7" s="2630"/>
      <c r="D7" s="2631">
        <f>SUM(D9,D10,D11,D17,0)</f>
        <v>0</v>
      </c>
      <c r="E7" s="2632" t="e">
        <f>E9+E10+E11+E17</f>
        <v>#DIV/0!</v>
      </c>
      <c r="F7" s="2633"/>
      <c r="G7" s="2634"/>
      <c r="H7" s="2600"/>
      <c r="I7" s="2601"/>
      <c r="J7" s="3273"/>
      <c r="K7" s="3275"/>
      <c r="L7" s="2635" t="s">
        <v>2343</v>
      </c>
      <c r="M7" s="2636"/>
      <c r="N7" s="2612"/>
      <c r="O7" s="2637"/>
      <c r="P7" s="2637"/>
      <c r="Q7" s="2638">
        <v>365</v>
      </c>
      <c r="R7" s="2639">
        <f>ROUND(M7*N7*O7*P7*Q7/10000,0)</f>
        <v>0</v>
      </c>
      <c r="S7" s="2593"/>
      <c r="T7" s="2593" t="s">
        <v>2344</v>
      </c>
      <c r="U7" s="2593"/>
      <c r="V7" s="2601"/>
    </row>
    <row r="8" spans="1:22" s="2605" customFormat="1" ht="13.2" customHeight="1">
      <c r="A8" s="2640" t="s">
        <v>2345</v>
      </c>
      <c r="B8" s="3290" t="s">
        <v>2346</v>
      </c>
      <c r="C8" s="3291"/>
      <c r="D8" s="2641" t="s">
        <v>2347</v>
      </c>
      <c r="E8" s="2642" t="s">
        <v>2348</v>
      </c>
      <c r="F8" s="2643" t="s">
        <v>2349</v>
      </c>
      <c r="G8" s="2644"/>
      <c r="H8" s="2600"/>
      <c r="I8" s="2601"/>
      <c r="J8" s="3273"/>
      <c r="K8" s="3275"/>
      <c r="L8" s="2635" t="s">
        <v>2350</v>
      </c>
      <c r="M8" s="2636"/>
      <c r="N8" s="2612"/>
      <c r="O8" s="2637"/>
      <c r="P8" s="2637"/>
      <c r="Q8" s="2638">
        <v>365</v>
      </c>
      <c r="R8" s="2639">
        <f t="shared" ref="R8:R13" si="0">ROUND(M8*N8*O8*P8*Q8/10000,0)</f>
        <v>0</v>
      </c>
      <c r="S8" s="2593"/>
      <c r="T8" s="2593" t="s">
        <v>2351</v>
      </c>
      <c r="U8" s="2593"/>
      <c r="V8" s="2601"/>
    </row>
    <row r="9" spans="1:22" s="2605" customFormat="1" ht="13.2" customHeight="1">
      <c r="A9" s="2640">
        <v>1</v>
      </c>
      <c r="B9" s="3290" t="s">
        <v>2352</v>
      </c>
      <c r="C9" s="3291"/>
      <c r="D9" s="2641">
        <f>ROUND(D6*E9,0)</f>
        <v>0</v>
      </c>
      <c r="E9" s="2645"/>
      <c r="F9" s="2646" t="s">
        <v>2353</v>
      </c>
      <c r="G9" s="2625"/>
      <c r="H9" s="2600"/>
      <c r="I9" s="2601"/>
      <c r="J9" s="3273"/>
      <c r="K9" s="3275"/>
      <c r="L9" s="2635" t="s">
        <v>2354</v>
      </c>
      <c r="M9" s="2636"/>
      <c r="N9" s="2612"/>
      <c r="O9" s="2637"/>
      <c r="P9" s="2637"/>
      <c r="Q9" s="2638">
        <v>365</v>
      </c>
      <c r="R9" s="2639">
        <f t="shared" si="0"/>
        <v>0</v>
      </c>
      <c r="S9" s="2593"/>
      <c r="T9" s="2593"/>
      <c r="U9" s="2593"/>
      <c r="V9" s="2601"/>
    </row>
    <row r="10" spans="1:22" s="2605" customFormat="1" ht="13.2" customHeight="1">
      <c r="A10" s="2640">
        <v>2</v>
      </c>
      <c r="B10" s="3290" t="s">
        <v>2355</v>
      </c>
      <c r="C10" s="3291"/>
      <c r="D10" s="2641">
        <f>ROUND(D6*E10,0)</f>
        <v>0</v>
      </c>
      <c r="E10" s="2645"/>
      <c r="F10" s="2646" t="s">
        <v>2356</v>
      </c>
      <c r="G10" s="2625"/>
      <c r="H10" s="2600"/>
      <c r="I10" s="2601"/>
      <c r="J10" s="3273"/>
      <c r="K10" s="3275"/>
      <c r="L10" s="2635" t="s">
        <v>2357</v>
      </c>
      <c r="M10" s="2636"/>
      <c r="N10" s="2612"/>
      <c r="O10" s="2637"/>
      <c r="P10" s="2637"/>
      <c r="Q10" s="2638">
        <v>365</v>
      </c>
      <c r="R10" s="2639">
        <f t="shared" si="0"/>
        <v>0</v>
      </c>
      <c r="S10" s="2593"/>
      <c r="T10" s="2593"/>
      <c r="U10" s="2593"/>
      <c r="V10" s="2601"/>
    </row>
    <row r="11" spans="1:22" s="2605" customFormat="1" ht="13.2" customHeight="1">
      <c r="A11" s="2640">
        <v>3</v>
      </c>
      <c r="B11" s="3290" t="s">
        <v>2358</v>
      </c>
      <c r="C11" s="3291"/>
      <c r="D11" s="2641">
        <f>D12+D14+D15+D16</f>
        <v>0</v>
      </c>
      <c r="E11" s="2647" t="e">
        <f>D11/D6</f>
        <v>#DIV/0!</v>
      </c>
      <c r="F11" s="2643"/>
      <c r="G11" s="2644"/>
      <c r="H11" s="2600"/>
      <c r="I11" s="2601"/>
      <c r="J11" s="3273"/>
      <c r="K11" s="3275"/>
      <c r="L11" s="2635" t="s">
        <v>2359</v>
      </c>
      <c r="M11" s="2636"/>
      <c r="N11" s="2612"/>
      <c r="O11" s="2637"/>
      <c r="P11" s="2637"/>
      <c r="Q11" s="2638">
        <v>365</v>
      </c>
      <c r="R11" s="2639">
        <f t="shared" si="0"/>
        <v>0</v>
      </c>
      <c r="S11" s="2593"/>
      <c r="T11" s="2593"/>
      <c r="U11" s="2593"/>
      <c r="V11" s="2601"/>
    </row>
    <row r="12" spans="1:22" s="2605" customFormat="1" ht="13.2" customHeight="1">
      <c r="A12" s="2648" t="s">
        <v>2360</v>
      </c>
      <c r="B12" s="3283" t="s">
        <v>2361</v>
      </c>
      <c r="C12" s="3284"/>
      <c r="D12" s="2649">
        <f>ROUND(D13*1.2%*(1-30%),0)</f>
        <v>0</v>
      </c>
      <c r="E12" s="2650">
        <v>1.2E-2</v>
      </c>
      <c r="F12" s="2643" t="s">
        <v>2362</v>
      </c>
      <c r="G12" s="2644"/>
      <c r="H12" s="2600"/>
      <c r="I12" s="2601"/>
      <c r="J12" s="3273"/>
      <c r="K12" s="3275"/>
      <c r="L12" s="2635" t="s">
        <v>2363</v>
      </c>
      <c r="M12" s="2636"/>
      <c r="N12" s="2612"/>
      <c r="O12" s="2637"/>
      <c r="P12" s="2637"/>
      <c r="Q12" s="2638">
        <v>365</v>
      </c>
      <c r="R12" s="2639">
        <f t="shared" si="0"/>
        <v>0</v>
      </c>
      <c r="S12" s="2593"/>
      <c r="T12" s="2593"/>
      <c r="U12" s="2593"/>
      <c r="V12" s="2601"/>
    </row>
    <row r="13" spans="1:22" s="2605" customFormat="1" ht="13.2" customHeight="1">
      <c r="A13" s="2648"/>
      <c r="B13" s="2651"/>
      <c r="C13" s="2652" t="s">
        <v>2364</v>
      </c>
      <c r="D13" s="2653"/>
      <c r="E13" s="2654"/>
      <c r="F13" s="2643"/>
      <c r="G13" s="2644"/>
      <c r="H13" s="2600"/>
      <c r="I13" s="2601"/>
      <c r="J13" s="3273"/>
      <c r="K13" s="3275"/>
      <c r="L13" s="2635" t="s">
        <v>2365</v>
      </c>
      <c r="M13" s="2636"/>
      <c r="N13" s="2612"/>
      <c r="O13" s="2637"/>
      <c r="P13" s="2637"/>
      <c r="Q13" s="2638">
        <v>365</v>
      </c>
      <c r="R13" s="2639">
        <f t="shared" si="0"/>
        <v>0</v>
      </c>
      <c r="S13" s="2593"/>
      <c r="T13" s="2593"/>
      <c r="U13" s="2593"/>
      <c r="V13" s="2601"/>
    </row>
    <row r="14" spans="1:22" s="2605" customFormat="1" ht="13.2" customHeight="1">
      <c r="A14" s="2648" t="s">
        <v>2366</v>
      </c>
      <c r="B14" s="3283" t="s">
        <v>2367</v>
      </c>
      <c r="C14" s="3284"/>
      <c r="D14" s="2649">
        <f>ROUND(E14*B5/10000,0)</f>
        <v>0</v>
      </c>
      <c r="E14" s="2638"/>
      <c r="F14" s="2643" t="s">
        <v>2368</v>
      </c>
      <c r="G14" s="2644"/>
      <c r="H14" s="2600"/>
      <c r="I14" s="2601"/>
      <c r="J14" s="3273"/>
      <c r="K14" s="3276"/>
      <c r="L14" s="2655" t="s">
        <v>2369</v>
      </c>
      <c r="M14" s="2656">
        <f>SUM(M7:M13)</f>
        <v>0</v>
      </c>
      <c r="N14" s="2656" t="e">
        <f>ROUND((N7*M7+N8*M8+N9*M9+N10*M10+N11*M11+N12*M12+N13*M13)/M14,0)</f>
        <v>#DIV/0!</v>
      </c>
      <c r="O14" s="2657"/>
      <c r="P14" s="2657"/>
      <c r="Q14" s="2658"/>
      <c r="R14" s="2604">
        <f>SUM(R7:R13)</f>
        <v>0</v>
      </c>
      <c r="S14" s="2593"/>
      <c r="T14" s="2593"/>
      <c r="U14" s="2593"/>
      <c r="V14" s="2601"/>
    </row>
    <row r="15" spans="1:22" s="2605" customFormat="1" ht="13.2" customHeight="1">
      <c r="A15" s="2648" t="s">
        <v>2370</v>
      </c>
      <c r="B15" s="3283" t="s">
        <v>2371</v>
      </c>
      <c r="C15" s="3284"/>
      <c r="D15" s="2649">
        <f>ROUND(D6*E15,0)</f>
        <v>0</v>
      </c>
      <c r="E15" s="2650">
        <v>5.5E-2</v>
      </c>
      <c r="F15" s="2643" t="s">
        <v>2372</v>
      </c>
      <c r="G15" s="2625"/>
      <c r="H15" s="2600"/>
      <c r="I15" s="2601"/>
      <c r="J15" s="3273">
        <v>2</v>
      </c>
      <c r="K15" s="3274" t="s">
        <v>2373</v>
      </c>
      <c r="L15" s="2635" t="s">
        <v>2374</v>
      </c>
      <c r="M15" s="2636" t="s">
        <v>2375</v>
      </c>
      <c r="N15" s="2636" t="s">
        <v>2376</v>
      </c>
      <c r="O15" s="2637" t="s">
        <v>2377</v>
      </c>
      <c r="P15" s="2637" t="s">
        <v>2339</v>
      </c>
      <c r="Q15" s="2612" t="s">
        <v>2378</v>
      </c>
      <c r="R15" s="2659" t="s">
        <v>2340</v>
      </c>
      <c r="S15" s="2593"/>
      <c r="T15" s="2593"/>
      <c r="U15" s="2593"/>
      <c r="V15" s="2601"/>
    </row>
    <row r="16" spans="1:22" s="2605" customFormat="1" ht="13.2" customHeight="1">
      <c r="A16" s="2648" t="s">
        <v>2379</v>
      </c>
      <c r="B16" s="3283" t="s">
        <v>2380</v>
      </c>
      <c r="C16" s="3284"/>
      <c r="D16" s="2660">
        <f>D6*E16</f>
        <v>0</v>
      </c>
      <c r="E16" s="2661"/>
      <c r="F16" s="2646" t="s">
        <v>2381</v>
      </c>
      <c r="G16" s="2625"/>
      <c r="H16" s="2600"/>
      <c r="I16" s="2601"/>
      <c r="J16" s="3273"/>
      <c r="K16" s="3275"/>
      <c r="L16" s="2635" t="s">
        <v>2382</v>
      </c>
      <c r="M16" s="2636"/>
      <c r="N16" s="2636"/>
      <c r="O16" s="2637"/>
      <c r="P16" s="2638">
        <v>365</v>
      </c>
      <c r="Q16" s="2612"/>
      <c r="R16" s="2659">
        <f>ROUND(M16*N16*O16*P16/10000,0)</f>
        <v>0</v>
      </c>
      <c r="S16" s="2593"/>
      <c r="T16" s="2593"/>
      <c r="U16" s="2593"/>
      <c r="V16" s="2601"/>
    </row>
    <row r="17" spans="1:22" s="2605" customFormat="1" ht="13.2" customHeight="1" thickBot="1">
      <c r="A17" s="2662">
        <v>4</v>
      </c>
      <c r="B17" s="3285" t="s">
        <v>2383</v>
      </c>
      <c r="C17" s="3286"/>
      <c r="D17" s="2663">
        <f>ROUND(D6*E17,0)</f>
        <v>0</v>
      </c>
      <c r="E17" s="2664"/>
      <c r="F17" s="2665" t="s">
        <v>2384</v>
      </c>
      <c r="G17" s="2625"/>
      <c r="H17" s="2600"/>
      <c r="I17" s="2601"/>
      <c r="J17" s="3273"/>
      <c r="K17" s="3275"/>
      <c r="L17" s="2635" t="s">
        <v>2385</v>
      </c>
      <c r="M17" s="2636"/>
      <c r="N17" s="2636"/>
      <c r="O17" s="2637"/>
      <c r="P17" s="2638">
        <v>365</v>
      </c>
      <c r="Q17" s="2612"/>
      <c r="R17" s="2659">
        <f>ROUND(M17*N17*O17*P17/10000,0)</f>
        <v>0</v>
      </c>
      <c r="S17" s="2593"/>
      <c r="T17" s="2593"/>
      <c r="U17" s="2593"/>
      <c r="V17" s="2601"/>
    </row>
    <row r="18" spans="1:22" s="2605" customFormat="1" ht="13.2" customHeight="1" thickBot="1">
      <c r="A18" s="2628" t="s">
        <v>2386</v>
      </c>
      <c r="B18" s="2629"/>
      <c r="C18" s="2629"/>
      <c r="D18" s="2666">
        <f>ROUND(D6*E18,0)</f>
        <v>0</v>
      </c>
      <c r="E18" s="2667"/>
      <c r="F18" s="2668" t="s">
        <v>2387</v>
      </c>
      <c r="G18" s="2625"/>
      <c r="H18" s="2600"/>
      <c r="I18" s="2601"/>
      <c r="J18" s="3273"/>
      <c r="K18" s="3275"/>
      <c r="L18" s="2635" t="s">
        <v>2388</v>
      </c>
      <c r="M18" s="2636"/>
      <c r="N18" s="2636"/>
      <c r="O18" s="2637"/>
      <c r="P18" s="2638">
        <v>365</v>
      </c>
      <c r="Q18" s="2612"/>
      <c r="R18" s="2659">
        <f>ROUND(M18*N18*O18*P18/10000,0)</f>
        <v>0</v>
      </c>
      <c r="S18" s="2593"/>
      <c r="T18" s="2593"/>
      <c r="U18" s="2593"/>
      <c r="V18" s="2601"/>
    </row>
    <row r="19" spans="1:22" s="2605" customFormat="1" ht="13.2" customHeight="1" thickBot="1">
      <c r="A19" s="2669" t="s">
        <v>2389</v>
      </c>
      <c r="B19" s="2623"/>
      <c r="C19" s="2623"/>
      <c r="D19" s="2623"/>
      <c r="E19" s="2623"/>
      <c r="F19" s="2624"/>
      <c r="G19" s="2644"/>
      <c r="H19" s="2600"/>
      <c r="I19" s="2601"/>
      <c r="J19" s="3273"/>
      <c r="K19" s="3276"/>
      <c r="L19" s="2655" t="s">
        <v>2369</v>
      </c>
      <c r="M19" s="2656"/>
      <c r="N19" s="2656">
        <f>SUM(N16:N18)</f>
        <v>0</v>
      </c>
      <c r="O19" s="2657"/>
      <c r="P19" s="2670" t="s">
        <v>2433</v>
      </c>
      <c r="Q19" s="2637">
        <v>0</v>
      </c>
      <c r="R19" s="2671">
        <f>ROUND(IF(P19="按比例",R14*Q19,SUM(R16:R18)),0)</f>
        <v>0</v>
      </c>
      <c r="S19" s="2593"/>
      <c r="T19" s="2593"/>
      <c r="U19" s="2593"/>
      <c r="V19" s="2601"/>
    </row>
    <row r="20" spans="1:22" s="2605" customFormat="1" ht="13.2" customHeight="1">
      <c r="A20" s="2628"/>
      <c r="B20" s="2629"/>
      <c r="C20" s="2629"/>
      <c r="D20" s="2629"/>
      <c r="E20" s="2629"/>
      <c r="F20" s="2672"/>
      <c r="G20" s="2644"/>
      <c r="H20" s="2600"/>
      <c r="I20" s="2601"/>
      <c r="J20" s="3273">
        <v>3</v>
      </c>
      <c r="K20" s="3274" t="s">
        <v>2390</v>
      </c>
      <c r="L20" s="2635" t="s">
        <v>2391</v>
      </c>
      <c r="M20" s="2636" t="s">
        <v>2392</v>
      </c>
      <c r="N20" s="2673" t="s">
        <v>2393</v>
      </c>
      <c r="O20" s="2637" t="s">
        <v>2394</v>
      </c>
      <c r="P20" s="2638" t="s">
        <v>2395</v>
      </c>
      <c r="Q20" s="2612" t="s">
        <v>2396</v>
      </c>
      <c r="R20" s="2659" t="s">
        <v>2397</v>
      </c>
      <c r="S20" s="2593"/>
      <c r="T20" s="2593"/>
      <c r="U20" s="2593"/>
      <c r="V20" s="2601"/>
    </row>
    <row r="21" spans="1:22" s="2605" customFormat="1" ht="13.2" customHeight="1">
      <c r="A21" s="2628"/>
      <c r="B21" s="2629"/>
      <c r="C21" s="2674" t="s">
        <v>2398</v>
      </c>
      <c r="D21" s="2675" t="s">
        <v>2399</v>
      </c>
      <c r="E21" s="2676" t="s">
        <v>2400</v>
      </c>
      <c r="F21" s="2672"/>
      <c r="G21" s="2644"/>
      <c r="H21" s="2600"/>
      <c r="I21" s="2601"/>
      <c r="J21" s="3273"/>
      <c r="K21" s="3275"/>
      <c r="L21" s="2635" t="s">
        <v>2401</v>
      </c>
      <c r="M21" s="2636"/>
      <c r="N21" s="2636"/>
      <c r="O21" s="2637"/>
      <c r="P21" s="2638">
        <v>365</v>
      </c>
      <c r="Q21" s="2612"/>
      <c r="R21" s="2677">
        <f>ROUND(M21*N21*O21*P21/10000,0)</f>
        <v>0</v>
      </c>
      <c r="S21" s="2593"/>
      <c r="T21" s="2593"/>
      <c r="U21" s="2593"/>
      <c r="V21" s="2601"/>
    </row>
    <row r="22" spans="1:22" s="2605" customFormat="1" ht="13.2" customHeight="1">
      <c r="A22" s="2628"/>
      <c r="B22" s="2629"/>
      <c r="C22" s="2678" t="s">
        <v>2402</v>
      </c>
      <c r="D22" s="2679" t="s">
        <v>2403</v>
      </c>
      <c r="E22" s="2680" t="s">
        <v>2404</v>
      </c>
      <c r="F22" s="2672"/>
      <c r="G22" s="2593"/>
      <c r="H22" s="2600"/>
      <c r="I22" s="2601"/>
      <c r="J22" s="3273"/>
      <c r="K22" s="3275"/>
      <c r="L22" s="2635" t="s">
        <v>2405</v>
      </c>
      <c r="M22" s="2636"/>
      <c r="N22" s="2636"/>
      <c r="O22" s="2637"/>
      <c r="P22" s="2638">
        <v>365</v>
      </c>
      <c r="Q22" s="2612"/>
      <c r="R22" s="2677">
        <f>ROUND(M22*N22*O22*P22/10000,0)</f>
        <v>0</v>
      </c>
      <c r="S22" s="2593"/>
      <c r="T22" s="2593"/>
      <c r="U22" s="2593"/>
      <c r="V22" s="2601"/>
    </row>
    <row r="23" spans="1:22" s="2605" customFormat="1" ht="13.2" customHeight="1">
      <c r="A23" s="2681">
        <v>1</v>
      </c>
      <c r="B23" s="2682" t="s">
        <v>2406</v>
      </c>
      <c r="C23" s="2683">
        <f>D6</f>
        <v>0</v>
      </c>
      <c r="D23" s="2684">
        <f>C23*(1+D24)</f>
        <v>0</v>
      </c>
      <c r="E23" s="2685">
        <f>D23*(1+E24)</f>
        <v>0</v>
      </c>
      <c r="F23" s="2686"/>
      <c r="G23" s="2687"/>
      <c r="H23" s="2600"/>
      <c r="I23" s="2601"/>
      <c r="J23" s="3273"/>
      <c r="K23" s="3275"/>
      <c r="L23" s="2635" t="s">
        <v>2407</v>
      </c>
      <c r="M23" s="2636"/>
      <c r="N23" s="2636"/>
      <c r="O23" s="2637"/>
      <c r="P23" s="2638">
        <v>365</v>
      </c>
      <c r="Q23" s="2612"/>
      <c r="R23" s="2677">
        <f>ROUND(M23*N23*O23*P23/10000,0)</f>
        <v>0</v>
      </c>
      <c r="S23" s="2593"/>
      <c r="T23" s="2593"/>
      <c r="U23" s="2593"/>
      <c r="V23" s="2601"/>
    </row>
    <row r="24" spans="1:22" s="2605" customFormat="1" ht="13.2" customHeight="1">
      <c r="A24" s="2688"/>
      <c r="B24" s="2689" t="s">
        <v>2408</v>
      </c>
      <c r="C24" s="2690"/>
      <c r="D24" s="2691"/>
      <c r="E24" s="2692"/>
      <c r="F24" s="2693"/>
      <c r="G24" s="2687"/>
      <c r="H24" s="2600"/>
      <c r="I24" s="2601"/>
      <c r="J24" s="3273"/>
      <c r="K24" s="3276"/>
      <c r="L24" s="2655" t="s">
        <v>2369</v>
      </c>
      <c r="M24" s="2656">
        <f>SUM(M21:M23)</f>
        <v>0</v>
      </c>
      <c r="N24" s="2656"/>
      <c r="O24" s="2657"/>
      <c r="P24" s="2670" t="s">
        <v>2433</v>
      </c>
      <c r="Q24" s="2637">
        <v>0</v>
      </c>
      <c r="R24" s="2671">
        <f>ROUND(IF(P24="按比例",R14*Q24,SUM(R21:R23)),0)</f>
        <v>0</v>
      </c>
      <c r="S24" s="2593"/>
      <c r="T24" s="2593"/>
      <c r="U24" s="2593"/>
      <c r="V24" s="2601"/>
    </row>
    <row r="25" spans="1:22" s="2700" customFormat="1" ht="13.2" customHeight="1">
      <c r="A25" s="2688"/>
      <c r="B25" s="2689"/>
      <c r="C25" s="2690"/>
      <c r="D25" s="2691"/>
      <c r="E25" s="2692"/>
      <c r="F25" s="2693"/>
      <c r="G25" s="2593"/>
      <c r="H25" s="2600"/>
      <c r="I25" s="2601"/>
      <c r="J25" s="2694">
        <v>4</v>
      </c>
      <c r="K25" s="2695" t="s">
        <v>2409</v>
      </c>
      <c r="L25" s="2696"/>
      <c r="M25" s="2696"/>
      <c r="N25" s="2696"/>
      <c r="O25" s="2696"/>
      <c r="P25" s="2697"/>
      <c r="Q25" s="2698">
        <v>0</v>
      </c>
      <c r="R25" s="2671">
        <f>ROUND(R14*Q25,0)</f>
        <v>0</v>
      </c>
      <c r="S25" s="2593"/>
      <c r="T25" s="2593"/>
      <c r="U25" s="2593"/>
      <c r="V25" s="2699"/>
    </row>
    <row r="26" spans="1:22" s="2700" customFormat="1" ht="13.2" customHeight="1">
      <c r="A26" s="2681">
        <v>2</v>
      </c>
      <c r="B26" s="2682" t="s">
        <v>2410</v>
      </c>
      <c r="C26" s="2683">
        <f>D7</f>
        <v>0</v>
      </c>
      <c r="D26" s="2684">
        <f>D23*D27</f>
        <v>0</v>
      </c>
      <c r="E26" s="2685">
        <f>E23*E27</f>
        <v>0</v>
      </c>
      <c r="F26" s="2686"/>
      <c r="G26" s="2687"/>
      <c r="H26" s="2600"/>
      <c r="I26" s="2601"/>
      <c r="J26" s="3277">
        <v>5</v>
      </c>
      <c r="K26" s="2701" t="s">
        <v>2411</v>
      </c>
      <c r="L26" s="2702"/>
      <c r="M26" s="2703"/>
      <c r="N26" s="2704" t="s">
        <v>2412</v>
      </c>
      <c r="O26" s="2704" t="s">
        <v>2413</v>
      </c>
      <c r="P26" s="2705" t="s">
        <v>2414</v>
      </c>
      <c r="Q26" s="2705" t="s">
        <v>2415</v>
      </c>
      <c r="R26" s="2610" t="s">
        <v>2340</v>
      </c>
      <c r="S26" s="2644"/>
      <c r="T26" s="2644"/>
      <c r="U26" s="2644"/>
      <c r="V26" s="2699"/>
    </row>
    <row r="27" spans="1:22" s="2605" customFormat="1" ht="13.2" customHeight="1">
      <c r="A27" s="2688"/>
      <c r="B27" s="2689" t="s">
        <v>2416</v>
      </c>
      <c r="C27" s="2706" t="e">
        <f>E7</f>
        <v>#DIV/0!</v>
      </c>
      <c r="D27" s="2691"/>
      <c r="E27" s="2692"/>
      <c r="F27" s="2693"/>
      <c r="G27" s="2687"/>
      <c r="H27" s="2707"/>
      <c r="I27" s="2699"/>
      <c r="J27" s="3278"/>
      <c r="K27" s="2708"/>
      <c r="L27" s="2709"/>
      <c r="M27" s="2710"/>
      <c r="N27" s="2711"/>
      <c r="O27" s="2711"/>
      <c r="P27" s="2711"/>
      <c r="Q27" s="2712"/>
      <c r="R27" s="2671">
        <f>ROUND(O27*N27*P27*(1-Q27)/10000,0)</f>
        <v>0</v>
      </c>
      <c r="S27" s="2593"/>
      <c r="T27" s="2593"/>
      <c r="U27" s="2593"/>
      <c r="V27" s="2601"/>
    </row>
    <row r="28" spans="1:22" s="2700" customFormat="1" ht="13.2" customHeight="1" thickBot="1">
      <c r="A28" s="2688"/>
      <c r="B28" s="2689"/>
      <c r="C28" s="2706"/>
      <c r="D28" s="2691"/>
      <c r="E28" s="2692" t="s">
        <v>2417</v>
      </c>
      <c r="F28" s="2693"/>
      <c r="G28" s="2593"/>
      <c r="H28" s="2707"/>
      <c r="I28" s="2699"/>
      <c r="J28" s="2713">
        <v>6</v>
      </c>
      <c r="K28" s="2714" t="s">
        <v>2418</v>
      </c>
      <c r="L28" s="2715" t="s">
        <v>2419</v>
      </c>
      <c r="M28" s="2716"/>
      <c r="N28" s="2715" t="s">
        <v>2420</v>
      </c>
      <c r="O28" s="2717"/>
      <c r="P28" s="2715" t="s">
        <v>2421</v>
      </c>
      <c r="Q28" s="2718">
        <v>1.4999999999999999E-2</v>
      </c>
      <c r="R28" s="2719"/>
      <c r="S28" s="2593"/>
      <c r="T28" s="2593"/>
      <c r="U28" s="2593"/>
      <c r="V28" s="2699"/>
    </row>
    <row r="29" spans="1:22" s="2700" customFormat="1" ht="13.2" customHeight="1">
      <c r="A29" s="2681">
        <v>3</v>
      </c>
      <c r="B29" s="2682" t="s">
        <v>2422</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2" customHeight="1" thickBot="1">
      <c r="A30" s="2688"/>
      <c r="B30" s="2689" t="s">
        <v>2416</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2" customHeight="1">
      <c r="A31" s="2688"/>
      <c r="B31" s="2689"/>
      <c r="C31" s="2721"/>
      <c r="D31" s="2720"/>
      <c r="E31" s="2654"/>
      <c r="F31" s="2693"/>
      <c r="G31" s="2593"/>
      <c r="H31" s="2707"/>
      <c r="I31" s="2699"/>
      <c r="J31" s="2590" t="s">
        <v>2423</v>
      </c>
      <c r="K31" s="2591"/>
      <c r="L31" s="2591"/>
      <c r="M31" s="2591"/>
      <c r="N31" s="2591"/>
      <c r="O31" s="2591"/>
      <c r="P31" s="2591"/>
      <c r="Q31" s="2591"/>
      <c r="R31" s="2592"/>
      <c r="S31" s="2593"/>
      <c r="T31" s="2593"/>
      <c r="U31" s="2593"/>
      <c r="V31" s="2699"/>
    </row>
    <row r="32" spans="1:22" s="2700" customFormat="1" ht="13.2" customHeight="1">
      <c r="A32" s="2681">
        <v>4</v>
      </c>
      <c r="B32" s="2682" t="s">
        <v>2424</v>
      </c>
      <c r="C32" s="2683">
        <f>C23-C26-C29</f>
        <v>0</v>
      </c>
      <c r="D32" s="2684">
        <f>D23-D26-D29</f>
        <v>0</v>
      </c>
      <c r="E32" s="2685">
        <f>E23-E26-E29</f>
        <v>0</v>
      </c>
      <c r="F32" s="2686"/>
      <c r="G32" s="2593"/>
      <c r="H32" s="2600"/>
      <c r="I32" s="2601"/>
      <c r="J32" s="3279" t="s">
        <v>2316</v>
      </c>
      <c r="K32" s="3280"/>
      <c r="L32" s="2602" t="s">
        <v>2317</v>
      </c>
      <c r="M32" s="2602" t="s">
        <v>2318</v>
      </c>
      <c r="N32" s="2602" t="s">
        <v>2319</v>
      </c>
      <c r="O32" s="2602" t="s">
        <v>2320</v>
      </c>
      <c r="P32" s="2602" t="s">
        <v>2321</v>
      </c>
      <c r="Q32" s="2603" t="s">
        <v>2322</v>
      </c>
      <c r="R32" s="2722" t="s">
        <v>2323</v>
      </c>
      <c r="S32" s="2593"/>
      <c r="T32" s="2593"/>
      <c r="U32" s="2593"/>
      <c r="V32" s="2699"/>
    </row>
    <row r="33" spans="1:23" s="2605" customFormat="1" ht="13.2" customHeight="1">
      <c r="A33" s="2681"/>
      <c r="B33" s="2682"/>
      <c r="C33" s="2683"/>
      <c r="D33" s="2723"/>
      <c r="E33" s="2724"/>
      <c r="F33" s="2686"/>
      <c r="G33" s="2593"/>
      <c r="H33" s="2707"/>
      <c r="I33" s="2699"/>
      <c r="J33" s="3281" t="s">
        <v>2326</v>
      </c>
      <c r="K33" s="3282"/>
      <c r="L33" s="2608"/>
      <c r="M33" s="2608"/>
      <c r="N33" s="2608"/>
      <c r="O33" s="2608"/>
      <c r="P33" s="2608"/>
      <c r="Q33" s="2609"/>
      <c r="R33" s="2725">
        <f>SUM(L33:Q33)</f>
        <v>0</v>
      </c>
      <c r="S33" s="2593"/>
      <c r="T33" s="2593"/>
      <c r="U33" s="2593"/>
      <c r="V33" s="2601"/>
    </row>
    <row r="34" spans="1:23" s="2605" customFormat="1" ht="13.2" customHeight="1">
      <c r="A34" s="2681">
        <v>5</v>
      </c>
      <c r="B34" s="2682" t="s">
        <v>2425</v>
      </c>
      <c r="C34" s="2726"/>
      <c r="D34" s="2727"/>
      <c r="E34" s="2728"/>
      <c r="F34" s="2686"/>
      <c r="G34" s="2593"/>
      <c r="H34" s="2707"/>
      <c r="I34" s="2699"/>
      <c r="J34" s="3281" t="s">
        <v>2328</v>
      </c>
      <c r="K34" s="3282"/>
      <c r="L34" s="2613"/>
      <c r="M34" s="2613"/>
      <c r="N34" s="2613"/>
      <c r="O34" s="2613"/>
      <c r="P34" s="2613"/>
      <c r="Q34" s="2614"/>
      <c r="R34" s="2729">
        <f>SUM(L34:Q34)</f>
        <v>0</v>
      </c>
      <c r="S34" s="2593"/>
      <c r="T34" s="2593"/>
      <c r="U34" s="2593" t="e">
        <f>ROUND(R35*10000/365/R33,1)</f>
        <v>#DIV/0!</v>
      </c>
      <c r="V34" s="2601"/>
    </row>
    <row r="35" spans="1:23" s="2605" customFormat="1" ht="13.2" customHeight="1">
      <c r="A35" s="2681">
        <v>6</v>
      </c>
      <c r="B35" s="2682" t="s">
        <v>2426</v>
      </c>
      <c r="C35" s="2730"/>
      <c r="D35" s="2731"/>
      <c r="E35" s="2732"/>
      <c r="F35" s="2686"/>
      <c r="G35" s="2733"/>
      <c r="H35" s="2600"/>
      <c r="I35" s="2699"/>
      <c r="J35" s="2619" t="s">
        <v>2330</v>
      </c>
      <c r="K35" s="2620"/>
      <c r="L35" s="2620"/>
      <c r="M35" s="2621"/>
      <c r="N35" s="2621"/>
      <c r="O35" s="2621"/>
      <c r="P35" s="2621"/>
      <c r="Q35" s="2621"/>
      <c r="R35" s="2734">
        <f>R40+R41+R43</f>
        <v>0</v>
      </c>
      <c r="S35" s="2593"/>
      <c r="T35" s="2593" t="s">
        <v>2331</v>
      </c>
      <c r="U35" s="2593"/>
      <c r="V35" s="2601"/>
    </row>
    <row r="36" spans="1:23" s="2605" customFormat="1" ht="13.2" customHeight="1" thickBot="1">
      <c r="A36" s="2681">
        <v>7</v>
      </c>
      <c r="B36" s="2735" t="s">
        <v>2427</v>
      </c>
      <c r="C36" s="2736"/>
      <c r="D36" s="2737"/>
      <c r="E36" s="2738"/>
      <c r="F36" s="2739">
        <f>C36+D36+E36</f>
        <v>0</v>
      </c>
      <c r="G36" s="2593"/>
      <c r="H36" s="2600"/>
      <c r="I36" s="2601"/>
      <c r="J36" s="3273">
        <v>1</v>
      </c>
      <c r="K36" s="3274" t="s">
        <v>2428</v>
      </c>
      <c r="L36" s="2626"/>
      <c r="M36" s="2627"/>
      <c r="N36" s="2627"/>
      <c r="O36" s="2627"/>
      <c r="P36" s="2627"/>
      <c r="Q36" s="2627"/>
      <c r="R36" s="2610" t="s">
        <v>2340</v>
      </c>
      <c r="S36" s="2593"/>
      <c r="T36" s="2593" t="s">
        <v>2341</v>
      </c>
      <c r="U36" s="2593"/>
      <c r="V36" s="2601"/>
    </row>
    <row r="37" spans="1:23" s="2605" customFormat="1" ht="13.2" customHeight="1">
      <c r="A37" s="2681"/>
      <c r="B37" s="2682"/>
      <c r="C37" s="2682"/>
      <c r="D37" s="2682"/>
      <c r="E37" s="2682"/>
      <c r="F37" s="2686"/>
      <c r="G37" s="2593"/>
      <c r="H37" s="2600"/>
      <c r="I37" s="2601"/>
      <c r="J37" s="3273"/>
      <c r="K37" s="3275"/>
      <c r="L37" s="2635"/>
      <c r="M37" s="2636"/>
      <c r="N37" s="2612"/>
      <c r="O37" s="2637"/>
      <c r="P37" s="2637"/>
      <c r="Q37" s="2638"/>
      <c r="R37" s="2639"/>
      <c r="S37" s="2593"/>
      <c r="T37" s="2593" t="s">
        <v>2344</v>
      </c>
      <c r="U37" s="2593"/>
      <c r="V37" s="2601"/>
    </row>
    <row r="38" spans="1:23" s="2605" customFormat="1" ht="13.2" customHeight="1">
      <c r="A38" s="2681">
        <v>8</v>
      </c>
      <c r="B38" s="2682"/>
      <c r="C38" s="2641" t="e">
        <f>ROUND(C32*(1-((1+C35)/(1+C34))^C36)/(C34-C35),0)</f>
        <v>#DIV/0!</v>
      </c>
      <c r="D38" s="2641">
        <f>IF(D23=0,0,ROUND(D32*(1-((1+D35)/(1+D34))^D36)/(D34-D35),0))</f>
        <v>0</v>
      </c>
      <c r="E38" s="2641">
        <f>IF(E23=0,0,ROUND(E32*(1-((1+E35)/(1+E34))^E36)/(E34-E35),0))</f>
        <v>0</v>
      </c>
      <c r="F38" s="2686"/>
      <c r="G38" s="2593"/>
      <c r="H38" s="2600"/>
      <c r="I38" s="2601"/>
      <c r="J38" s="3273"/>
      <c r="K38" s="3275"/>
      <c r="L38" s="2635"/>
      <c r="M38" s="2636"/>
      <c r="N38" s="2612"/>
      <c r="O38" s="2637"/>
      <c r="P38" s="2637"/>
      <c r="Q38" s="2638"/>
      <c r="R38" s="2639"/>
      <c r="S38" s="2593"/>
      <c r="T38" s="2593" t="s">
        <v>2351</v>
      </c>
      <c r="U38" s="2593"/>
      <c r="V38" s="2601"/>
    </row>
    <row r="39" spans="1:23" s="2605" customFormat="1" ht="13.2" customHeight="1">
      <c r="A39" s="2681">
        <v>9</v>
      </c>
      <c r="B39" s="2682" t="s">
        <v>2429</v>
      </c>
      <c r="C39" s="2649" t="e">
        <f>C38</f>
        <v>#DIV/0!</v>
      </c>
      <c r="D39" s="2682">
        <f>D38/(1+D34)^C36</f>
        <v>0</v>
      </c>
      <c r="E39" s="2682">
        <f>E38/(1+E34)^(C36+D36)</f>
        <v>0</v>
      </c>
      <c r="F39" s="2686"/>
      <c r="G39" s="2601"/>
      <c r="H39" s="2600"/>
      <c r="I39" s="2601"/>
      <c r="J39" s="3273"/>
      <c r="K39" s="3275"/>
      <c r="L39" s="2635"/>
      <c r="M39" s="2636"/>
      <c r="N39" s="2612"/>
      <c r="O39" s="2637"/>
      <c r="P39" s="2637"/>
      <c r="Q39" s="2638"/>
      <c r="R39" s="2639"/>
      <c r="S39" s="2593"/>
      <c r="T39" s="2593"/>
      <c r="U39" s="2593"/>
      <c r="V39" s="2601"/>
    </row>
    <row r="40" spans="1:23" s="2605" customFormat="1" ht="13.2" customHeight="1">
      <c r="A40" s="2740">
        <v>10</v>
      </c>
      <c r="B40" s="2682" t="s">
        <v>2430</v>
      </c>
      <c r="C40" s="2741" t="e">
        <f>C39+D39+E39</f>
        <v>#DIV/0!</v>
      </c>
      <c r="D40" s="2742"/>
      <c r="E40" s="2742"/>
      <c r="F40" s="2743"/>
      <c r="G40" s="2593"/>
      <c r="H40" s="2600"/>
      <c r="I40" s="2601"/>
      <c r="J40" s="3273"/>
      <c r="K40" s="3276"/>
      <c r="L40" s="2655" t="s">
        <v>2369</v>
      </c>
      <c r="M40" s="2656"/>
      <c r="N40" s="2656"/>
      <c r="O40" s="2657"/>
      <c r="P40" s="2657"/>
      <c r="Q40" s="2658"/>
      <c r="R40" s="2604">
        <f>SUM(R37:R39)</f>
        <v>0</v>
      </c>
      <c r="S40" s="2593"/>
      <c r="T40" s="2593"/>
      <c r="U40" s="2593"/>
      <c r="V40" s="2601"/>
    </row>
    <row r="41" spans="1:23" s="2605" customFormat="1" ht="13.2" customHeight="1" thickBot="1">
      <c r="A41" s="2744">
        <v>11</v>
      </c>
      <c r="B41" s="2745" t="s">
        <v>2431</v>
      </c>
      <c r="C41" s="2745" t="e">
        <f>ROUND(C40*10000/B4,0)</f>
        <v>#DIV/0!</v>
      </c>
      <c r="D41" s="2746"/>
      <c r="E41" s="2746"/>
      <c r="F41" s="2747"/>
      <c r="G41" s="2600"/>
      <c r="H41" s="2600"/>
      <c r="I41" s="2601"/>
      <c r="J41" s="2694">
        <v>2</v>
      </c>
      <c r="K41" s="2695" t="s">
        <v>2409</v>
      </c>
      <c r="L41" s="2696"/>
      <c r="M41" s="2696"/>
      <c r="N41" s="2696"/>
      <c r="O41" s="2696"/>
      <c r="P41" s="2697"/>
      <c r="Q41" s="2698"/>
      <c r="R41" s="2671">
        <f>ROUND(R40*Q41,0)</f>
        <v>0</v>
      </c>
      <c r="S41" s="2593"/>
      <c r="T41" s="2593"/>
      <c r="U41" s="2644"/>
      <c r="V41" s="2601"/>
    </row>
    <row r="42" spans="1:23" s="2605" customFormat="1" ht="13.2" customHeight="1">
      <c r="G42" s="2600"/>
      <c r="H42" s="2600"/>
      <c r="I42" s="2601"/>
      <c r="J42" s="3277">
        <v>3</v>
      </c>
      <c r="K42" s="2701" t="s">
        <v>2411</v>
      </c>
      <c r="L42" s="2702"/>
      <c r="M42" s="2703"/>
      <c r="N42" s="2704" t="s">
        <v>2412</v>
      </c>
      <c r="O42" s="2704" t="s">
        <v>2413</v>
      </c>
      <c r="P42" s="2705" t="s">
        <v>2414</v>
      </c>
      <c r="Q42" s="2705" t="s">
        <v>2415</v>
      </c>
      <c r="R42" s="2610" t="s">
        <v>2340</v>
      </c>
      <c r="S42" s="2644"/>
      <c r="T42" s="2644"/>
      <c r="U42" s="2593"/>
      <c r="V42" s="2601"/>
    </row>
    <row r="43" spans="1:23" ht="13.2" customHeight="1">
      <c r="A43" s="2605"/>
      <c r="B43" s="2605"/>
      <c r="C43" s="2605"/>
      <c r="D43" s="2605"/>
      <c r="E43" s="2605"/>
      <c r="F43" s="2605"/>
      <c r="I43" s="2588"/>
      <c r="J43" s="3278"/>
      <c r="K43" s="2708"/>
      <c r="L43" s="2709"/>
      <c r="M43" s="2710"/>
      <c r="N43" s="2636"/>
      <c r="O43" s="2636"/>
      <c r="P43" s="2636"/>
      <c r="Q43" s="2698"/>
      <c r="R43" s="2671">
        <f>ROUND(O43*N43*P43*(1-Q43)/10000,0)</f>
        <v>0</v>
      </c>
      <c r="S43" s="2593"/>
      <c r="T43" s="2593"/>
      <c r="V43" s="2748"/>
      <c r="W43" s="2749"/>
    </row>
    <row r="44" spans="1:23" ht="13.2" customHeight="1" thickBot="1">
      <c r="J44" s="2713">
        <v>6</v>
      </c>
      <c r="K44" s="2714" t="s">
        <v>2418</v>
      </c>
      <c r="L44" s="2750" t="s">
        <v>2419</v>
      </c>
      <c r="M44" s="2716"/>
      <c r="N44" s="2750" t="s">
        <v>2420</v>
      </c>
      <c r="O44" s="2716"/>
      <c r="P44" s="2750" t="s">
        <v>2421</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80"/>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6">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6">
      <c r="A4" s="2484"/>
      <c r="B4" s="2480"/>
      <c r="C4" s="2480"/>
      <c r="D4" s="2480"/>
      <c r="E4" s="2483"/>
      <c r="F4" s="2480"/>
      <c r="G4" s="459"/>
      <c r="H4" s="459"/>
      <c r="I4" s="459"/>
      <c r="J4" s="459"/>
      <c r="K4" s="459"/>
      <c r="L4" s="459"/>
      <c r="M4" s="459"/>
      <c r="N4" s="459"/>
      <c r="O4" s="459"/>
      <c r="P4" s="459"/>
      <c r="Q4" s="459"/>
      <c r="R4" s="459"/>
      <c r="S4" s="459"/>
    </row>
    <row r="5" spans="1:22" ht="14.4">
      <c r="A5" s="2389" t="s">
        <v>1653</v>
      </c>
      <c r="B5" s="3292" t="s">
        <v>1654</v>
      </c>
      <c r="C5" s="3293"/>
      <c r="D5" s="2481"/>
      <c r="E5" s="1731" t="s">
        <v>1655</v>
      </c>
      <c r="F5" s="129" t="s">
        <v>1656</v>
      </c>
      <c r="G5" s="459"/>
      <c r="H5" s="459"/>
      <c r="I5" s="459"/>
      <c r="J5" s="459"/>
      <c r="K5" s="459"/>
      <c r="L5" s="459"/>
      <c r="M5" s="459"/>
      <c r="N5" s="459"/>
      <c r="O5" s="459"/>
      <c r="P5" s="459"/>
      <c r="Q5" s="459"/>
      <c r="R5" s="459"/>
      <c r="S5" s="459"/>
    </row>
    <row r="6" spans="1:22" ht="14.4">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4.4">
      <c r="A4" s="345" t="s">
        <v>1666</v>
      </c>
      <c r="B4" s="346"/>
      <c r="C4" s="3313" t="s">
        <v>1667</v>
      </c>
      <c r="D4" s="3314"/>
      <c r="E4" s="3315" t="s">
        <v>1668</v>
      </c>
      <c r="F4" s="3316"/>
      <c r="G4" s="3313" t="s">
        <v>1669</v>
      </c>
      <c r="H4" s="3314"/>
      <c r="I4" s="3313" t="s">
        <v>1670</v>
      </c>
      <c r="J4" s="3314"/>
      <c r="K4" s="1744" t="s">
        <v>1671</v>
      </c>
      <c r="L4" s="2487"/>
      <c r="M4" s="2488"/>
      <c r="N4" s="2488"/>
      <c r="O4" s="2488"/>
      <c r="P4" s="3317" t="s">
        <v>1672</v>
      </c>
      <c r="Q4" s="3318"/>
      <c r="R4" s="3323" t="s">
        <v>1668</v>
      </c>
      <c r="S4" s="3324"/>
      <c r="T4" s="3323" t="s">
        <v>1669</v>
      </c>
      <c r="U4" s="3324"/>
      <c r="V4" s="3298" t="s">
        <v>1670</v>
      </c>
      <c r="W4" s="3298"/>
      <c r="X4" s="1265"/>
      <c r="Y4" s="3323" t="s">
        <v>1672</v>
      </c>
      <c r="Z4" s="3324"/>
      <c r="AA4" s="3310" t="s">
        <v>1668</v>
      </c>
      <c r="AB4" s="3310" t="s">
        <v>1669</v>
      </c>
      <c r="AC4" s="3310" t="s">
        <v>1670</v>
      </c>
    </row>
    <row r="5" spans="1:29">
      <c r="A5" s="348"/>
      <c r="B5" s="349"/>
      <c r="C5" s="3331" t="s">
        <v>1673</v>
      </c>
      <c r="D5" s="3332"/>
      <c r="E5" s="3338" t="s">
        <v>1674</v>
      </c>
      <c r="F5" s="3339"/>
      <c r="G5" s="3331" t="s">
        <v>1675</v>
      </c>
      <c r="H5" s="3332"/>
      <c r="I5" s="3331" t="s">
        <v>1676</v>
      </c>
      <c r="J5" s="3332"/>
      <c r="K5" s="1745"/>
      <c r="L5" s="2487"/>
      <c r="M5" s="2488"/>
      <c r="N5" s="2488"/>
      <c r="O5" s="2488"/>
      <c r="P5" s="3319"/>
      <c r="Q5" s="3320"/>
      <c r="R5" s="3325"/>
      <c r="S5" s="3326"/>
      <c r="T5" s="3325"/>
      <c r="U5" s="3326"/>
      <c r="V5" s="3298"/>
      <c r="W5" s="3298"/>
      <c r="X5" s="1265"/>
      <c r="Y5" s="3325"/>
      <c r="Z5" s="3326"/>
      <c r="AA5" s="3311"/>
      <c r="AB5" s="3311"/>
      <c r="AC5" s="3311"/>
    </row>
    <row r="6" spans="1:29" ht="15" thickBot="1">
      <c r="A6" s="350"/>
      <c r="B6" s="351"/>
      <c r="C6" s="3329" t="s">
        <v>1677</v>
      </c>
      <c r="D6" s="3330"/>
      <c r="E6" s="3336" t="s">
        <v>1677</v>
      </c>
      <c r="F6" s="3337"/>
      <c r="G6" s="3329" t="s">
        <v>1677</v>
      </c>
      <c r="H6" s="3330"/>
      <c r="I6" s="3329" t="s">
        <v>1677</v>
      </c>
      <c r="J6" s="3330"/>
      <c r="K6" s="1745" t="s">
        <v>1678</v>
      </c>
      <c r="L6" s="2487"/>
      <c r="M6" s="2488"/>
      <c r="N6" s="2488"/>
      <c r="O6" s="2488"/>
      <c r="P6" s="3321"/>
      <c r="Q6" s="3322"/>
      <c r="R6" s="3325"/>
      <c r="S6" s="3326"/>
      <c r="T6" s="3327"/>
      <c r="U6" s="3328"/>
      <c r="V6" s="3298"/>
      <c r="W6" s="3298"/>
      <c r="X6" s="1265"/>
      <c r="Y6" s="3327"/>
      <c r="Z6" s="3328"/>
      <c r="AA6" s="3312"/>
      <c r="AB6" s="3312"/>
      <c r="AC6" s="3312"/>
    </row>
    <row r="7" spans="1:29" s="102" customFormat="1" ht="15" thickBot="1">
      <c r="A7" s="352" t="s">
        <v>1679</v>
      </c>
      <c r="B7" s="353"/>
      <c r="C7" s="354">
        <f>'数据-取费表'!B2</f>
        <v>45845</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33" t="s">
        <v>1680</v>
      </c>
      <c r="Q7" s="3335"/>
      <c r="R7" s="664" t="s">
        <v>20</v>
      </c>
      <c r="S7" s="665">
        <f t="shared" ref="S7:S15" si="0">F7</f>
        <v>0</v>
      </c>
      <c r="T7" s="664" t="s">
        <v>20</v>
      </c>
      <c r="U7" s="665">
        <f t="shared" ref="U7:U15" si="1">H7</f>
        <v>0</v>
      </c>
      <c r="V7" s="664" t="s">
        <v>20</v>
      </c>
      <c r="W7" s="665">
        <f t="shared" ref="W7:W15" si="2">J7</f>
        <v>0</v>
      </c>
      <c r="X7" s="666"/>
      <c r="Y7" s="3333" t="s">
        <v>1680</v>
      </c>
      <c r="Z7" s="3334"/>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33" t="s">
        <v>1683</v>
      </c>
      <c r="Q8" s="3334"/>
      <c r="R8" s="664" t="s">
        <v>20</v>
      </c>
      <c r="S8" s="665">
        <f t="shared" si="0"/>
        <v>100</v>
      </c>
      <c r="T8" s="664" t="s">
        <v>20</v>
      </c>
      <c r="U8" s="665">
        <f t="shared" si="1"/>
        <v>100</v>
      </c>
      <c r="V8" s="664" t="s">
        <v>20</v>
      </c>
      <c r="W8" s="665">
        <f t="shared" si="2"/>
        <v>100</v>
      </c>
      <c r="X8" s="666"/>
      <c r="Y8" s="3333" t="s">
        <v>1683</v>
      </c>
      <c r="Z8" s="3334"/>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08" t="s">
        <v>1686</v>
      </c>
      <c r="Q9" s="530" t="str">
        <f t="shared" ref="Q9:Q15" si="6">B9</f>
        <v>用途</v>
      </c>
      <c r="R9" s="664" t="s">
        <v>14</v>
      </c>
      <c r="S9" s="665">
        <f t="shared" si="0"/>
        <v>100</v>
      </c>
      <c r="T9" s="664" t="s">
        <v>14</v>
      </c>
      <c r="U9" s="665">
        <f t="shared" si="1"/>
        <v>100</v>
      </c>
      <c r="V9" s="664" t="s">
        <v>14</v>
      </c>
      <c r="W9" s="665">
        <f t="shared" si="2"/>
        <v>100</v>
      </c>
      <c r="X9" s="666"/>
      <c r="Y9" s="3309"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08"/>
      <c r="Q10" s="530" t="str">
        <f t="shared" si="6"/>
        <v>土地使用年限（年）</v>
      </c>
      <c r="R10" s="664" t="s">
        <v>14</v>
      </c>
      <c r="S10" s="665">
        <f t="shared" si="0"/>
        <v>100</v>
      </c>
      <c r="T10" s="664" t="s">
        <v>14</v>
      </c>
      <c r="U10" s="665">
        <f t="shared" si="1"/>
        <v>100</v>
      </c>
      <c r="V10" s="664" t="s">
        <v>14</v>
      </c>
      <c r="W10" s="665">
        <f t="shared" si="2"/>
        <v>100</v>
      </c>
      <c r="X10" s="666"/>
      <c r="Y10" s="330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08"/>
      <c r="Q11" s="530" t="str">
        <f t="shared" si="6"/>
        <v>容积率</v>
      </c>
      <c r="R11" s="664" t="s">
        <v>18</v>
      </c>
      <c r="S11" s="665" t="e">
        <f t="shared" si="0"/>
        <v>#N/A</v>
      </c>
      <c r="T11" s="664" t="s">
        <v>18</v>
      </c>
      <c r="U11" s="665" t="e">
        <f t="shared" si="1"/>
        <v>#N/A</v>
      </c>
      <c r="V11" s="664" t="s">
        <v>18</v>
      </c>
      <c r="W11" s="665" t="e">
        <f t="shared" si="2"/>
        <v>#N/A</v>
      </c>
      <c r="X11" s="666"/>
      <c r="Y11" s="330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08"/>
      <c r="Q12" s="530">
        <f t="shared" si="6"/>
        <v>111</v>
      </c>
      <c r="R12" s="664" t="s">
        <v>18</v>
      </c>
      <c r="S12" s="665">
        <f t="shared" si="0"/>
        <v>100</v>
      </c>
      <c r="T12" s="664" t="s">
        <v>18</v>
      </c>
      <c r="U12" s="665">
        <f t="shared" si="1"/>
        <v>100</v>
      </c>
      <c r="V12" s="664" t="s">
        <v>18</v>
      </c>
      <c r="W12" s="665">
        <f t="shared" si="2"/>
        <v>100</v>
      </c>
      <c r="X12" s="666"/>
      <c r="Y12" s="330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08"/>
      <c r="Q13" s="530">
        <f t="shared" si="6"/>
        <v>111</v>
      </c>
      <c r="R13" s="664" t="s">
        <v>18</v>
      </c>
      <c r="S13" s="665">
        <f t="shared" si="0"/>
        <v>100</v>
      </c>
      <c r="T13" s="664" t="s">
        <v>18</v>
      </c>
      <c r="U13" s="665">
        <f t="shared" si="1"/>
        <v>100</v>
      </c>
      <c r="V13" s="664" t="s">
        <v>18</v>
      </c>
      <c r="W13" s="665">
        <f t="shared" si="2"/>
        <v>100</v>
      </c>
      <c r="X13" s="666"/>
      <c r="Y13" s="3309"/>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08"/>
      <c r="Q14" s="530">
        <f t="shared" si="6"/>
        <v>111</v>
      </c>
      <c r="R14" s="664" t="s">
        <v>18</v>
      </c>
      <c r="S14" s="665">
        <f t="shared" si="0"/>
        <v>100</v>
      </c>
      <c r="T14" s="664" t="s">
        <v>18</v>
      </c>
      <c r="U14" s="665">
        <f t="shared" si="1"/>
        <v>100</v>
      </c>
      <c r="V14" s="664" t="s">
        <v>18</v>
      </c>
      <c r="W14" s="665">
        <f t="shared" si="2"/>
        <v>100</v>
      </c>
      <c r="X14" s="666"/>
      <c r="Y14" s="3309"/>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06" t="s">
        <v>1691</v>
      </c>
      <c r="Q15" s="1263" t="str">
        <f t="shared" si="6"/>
        <v>居住社区成熟度</v>
      </c>
      <c r="R15" s="667" t="s">
        <v>18</v>
      </c>
      <c r="S15" s="668">
        <f t="shared" si="0"/>
        <v>100</v>
      </c>
      <c r="T15" s="667" t="s">
        <v>18</v>
      </c>
      <c r="U15" s="668">
        <f t="shared" si="1"/>
        <v>100</v>
      </c>
      <c r="V15" s="667" t="s">
        <v>18</v>
      </c>
      <c r="W15" s="668">
        <f t="shared" si="2"/>
        <v>100</v>
      </c>
      <c r="X15" s="1265"/>
      <c r="Y15" s="329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07"/>
      <c r="Q16" s="1263"/>
      <c r="R16" s="667"/>
      <c r="S16" s="668"/>
      <c r="T16" s="667"/>
      <c r="U16" s="668"/>
      <c r="V16" s="667"/>
      <c r="W16" s="668"/>
      <c r="X16" s="1265"/>
      <c r="Y16" s="3300"/>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07"/>
      <c r="Q17" s="1263" t="str">
        <f>B17</f>
        <v>交通便捷度</v>
      </c>
      <c r="R17" s="667" t="s">
        <v>18</v>
      </c>
      <c r="S17" s="668">
        <f>F17</f>
        <v>100</v>
      </c>
      <c r="T17" s="667" t="s">
        <v>18</v>
      </c>
      <c r="U17" s="668">
        <f>H17</f>
        <v>100</v>
      </c>
      <c r="V17" s="667" t="s">
        <v>18</v>
      </c>
      <c r="W17" s="668">
        <f>J17</f>
        <v>100</v>
      </c>
      <c r="X17" s="1265"/>
      <c r="Y17" s="330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07"/>
      <c r="Q18" s="1263"/>
      <c r="R18" s="667"/>
      <c r="S18" s="668"/>
      <c r="T18" s="667"/>
      <c r="U18" s="668"/>
      <c r="V18" s="667"/>
      <c r="W18" s="668"/>
      <c r="X18" s="1265"/>
      <c r="Y18" s="3300"/>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07"/>
      <c r="Q19" s="1263" t="str">
        <f>B19</f>
        <v>公共配套设施</v>
      </c>
      <c r="R19" s="667" t="s">
        <v>18</v>
      </c>
      <c r="S19" s="668">
        <f>F19</f>
        <v>100</v>
      </c>
      <c r="T19" s="667" t="s">
        <v>18</v>
      </c>
      <c r="U19" s="668">
        <f>H19</f>
        <v>100</v>
      </c>
      <c r="V19" s="667" t="s">
        <v>18</v>
      </c>
      <c r="W19" s="668">
        <f>J19</f>
        <v>100</v>
      </c>
      <c r="X19" s="1265"/>
      <c r="Y19" s="330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07"/>
      <c r="Q20" s="1263"/>
      <c r="R20" s="667"/>
      <c r="S20" s="668"/>
      <c r="T20" s="667"/>
      <c r="U20" s="668"/>
      <c r="V20" s="667"/>
      <c r="W20" s="668"/>
      <c r="X20" s="1265"/>
      <c r="Y20" s="3300"/>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07"/>
      <c r="Q21" s="1263" t="str">
        <f>B21</f>
        <v>基础设施水平</v>
      </c>
      <c r="R21" s="667" t="s">
        <v>14</v>
      </c>
      <c r="S21" s="668">
        <f>F21</f>
        <v>100</v>
      </c>
      <c r="T21" s="667" t="s">
        <v>14</v>
      </c>
      <c r="U21" s="668">
        <f>H21</f>
        <v>100</v>
      </c>
      <c r="V21" s="667" t="s">
        <v>14</v>
      </c>
      <c r="W21" s="668">
        <f>J21</f>
        <v>100</v>
      </c>
      <c r="X21" s="1265"/>
      <c r="Y21" s="330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07"/>
      <c r="Q22" s="1263"/>
      <c r="R22" s="667"/>
      <c r="S22" s="668"/>
      <c r="T22" s="667"/>
      <c r="U22" s="668"/>
      <c r="V22" s="667"/>
      <c r="W22" s="668"/>
      <c r="X22" s="1265"/>
      <c r="Y22" s="3300"/>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07"/>
      <c r="Q23" s="1263" t="str">
        <f>B23</f>
        <v>自然及人文环境</v>
      </c>
      <c r="R23" s="667" t="s">
        <v>18</v>
      </c>
      <c r="S23" s="668">
        <f>F23</f>
        <v>100</v>
      </c>
      <c r="T23" s="667" t="s">
        <v>18</v>
      </c>
      <c r="U23" s="668">
        <f>H23</f>
        <v>100</v>
      </c>
      <c r="V23" s="667" t="s">
        <v>18</v>
      </c>
      <c r="W23" s="668">
        <f>J23</f>
        <v>100</v>
      </c>
      <c r="X23" s="1265"/>
      <c r="Y23" s="330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07"/>
      <c r="Q24" s="1263"/>
      <c r="R24" s="667"/>
      <c r="S24" s="668"/>
      <c r="T24" s="667"/>
      <c r="U24" s="668"/>
      <c r="V24" s="667"/>
      <c r="W24" s="668"/>
      <c r="X24" s="1265"/>
      <c r="Y24" s="330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0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0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07"/>
      <c r="Q26" s="1263" t="str">
        <f t="shared" si="11"/>
        <v>朝向</v>
      </c>
      <c r="R26" s="667" t="s">
        <v>18</v>
      </c>
      <c r="S26" s="668">
        <f t="shared" si="12"/>
        <v>100</v>
      </c>
      <c r="T26" s="667" t="s">
        <v>18</v>
      </c>
      <c r="U26" s="668">
        <f t="shared" si="13"/>
        <v>100</v>
      </c>
      <c r="V26" s="667" t="s">
        <v>18</v>
      </c>
      <c r="W26" s="668">
        <f t="shared" si="14"/>
        <v>100</v>
      </c>
      <c r="X26" s="1265"/>
      <c r="Y26" s="330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07"/>
      <c r="Q27" s="530">
        <f t="shared" si="11"/>
        <v>111</v>
      </c>
      <c r="R27" s="664" t="s">
        <v>18</v>
      </c>
      <c r="S27" s="665">
        <f t="shared" si="12"/>
        <v>100</v>
      </c>
      <c r="T27" s="664" t="s">
        <v>18</v>
      </c>
      <c r="U27" s="665">
        <f t="shared" si="13"/>
        <v>100</v>
      </c>
      <c r="V27" s="664" t="s">
        <v>18</v>
      </c>
      <c r="W27" s="665">
        <f t="shared" si="14"/>
        <v>100</v>
      </c>
      <c r="X27" s="666"/>
      <c r="Y27" s="330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07"/>
      <c r="Q28" s="1263">
        <f t="shared" si="11"/>
        <v>111</v>
      </c>
      <c r="R28" s="667" t="s">
        <v>18</v>
      </c>
      <c r="S28" s="668">
        <f t="shared" si="12"/>
        <v>100</v>
      </c>
      <c r="T28" s="667" t="s">
        <v>18</v>
      </c>
      <c r="U28" s="668">
        <f t="shared" si="13"/>
        <v>100</v>
      </c>
      <c r="V28" s="667" t="s">
        <v>18</v>
      </c>
      <c r="W28" s="668">
        <f t="shared" si="14"/>
        <v>100</v>
      </c>
      <c r="X28" s="1265"/>
      <c r="Y28" s="330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07"/>
      <c r="Q29" s="1263">
        <f t="shared" si="11"/>
        <v>111</v>
      </c>
      <c r="R29" s="667" t="s">
        <v>18</v>
      </c>
      <c r="S29" s="668">
        <f t="shared" si="12"/>
        <v>100</v>
      </c>
      <c r="T29" s="667" t="s">
        <v>18</v>
      </c>
      <c r="U29" s="668">
        <f t="shared" si="13"/>
        <v>100</v>
      </c>
      <c r="V29" s="667" t="s">
        <v>18</v>
      </c>
      <c r="W29" s="668">
        <f t="shared" si="14"/>
        <v>100</v>
      </c>
      <c r="X29" s="1265"/>
      <c r="Y29" s="330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07"/>
      <c r="Q30" s="1263">
        <f t="shared" si="11"/>
        <v>111</v>
      </c>
      <c r="R30" s="667" t="s">
        <v>18</v>
      </c>
      <c r="S30" s="668">
        <f t="shared" si="12"/>
        <v>100</v>
      </c>
      <c r="T30" s="667" t="s">
        <v>18</v>
      </c>
      <c r="U30" s="668">
        <f t="shared" si="13"/>
        <v>100</v>
      </c>
      <c r="V30" s="667" t="s">
        <v>18</v>
      </c>
      <c r="W30" s="668">
        <f t="shared" si="14"/>
        <v>100</v>
      </c>
      <c r="X30" s="1265"/>
      <c r="Y30" s="3300"/>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07"/>
      <c r="Q31" s="1263">
        <f t="shared" si="11"/>
        <v>111</v>
      </c>
      <c r="R31" s="667" t="s">
        <v>18</v>
      </c>
      <c r="S31" s="668">
        <f t="shared" si="12"/>
        <v>100</v>
      </c>
      <c r="T31" s="667" t="s">
        <v>18</v>
      </c>
      <c r="U31" s="668">
        <f t="shared" si="13"/>
        <v>100</v>
      </c>
      <c r="V31" s="667" t="s">
        <v>18</v>
      </c>
      <c r="W31" s="668">
        <f t="shared" si="14"/>
        <v>100</v>
      </c>
      <c r="X31" s="1265"/>
      <c r="Y31" s="330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01" t="s">
        <v>1696</v>
      </c>
      <c r="Q32" s="1263" t="str">
        <f t="shared" si="11"/>
        <v>建筑类型</v>
      </c>
      <c r="R32" s="667" t="s">
        <v>18</v>
      </c>
      <c r="S32" s="668">
        <f t="shared" si="12"/>
        <v>100</v>
      </c>
      <c r="T32" s="667" t="s">
        <v>18</v>
      </c>
      <c r="U32" s="668">
        <f t="shared" si="13"/>
        <v>100</v>
      </c>
      <c r="V32" s="667" t="s">
        <v>18</v>
      </c>
      <c r="W32" s="668">
        <f t="shared" si="14"/>
        <v>100</v>
      </c>
      <c r="X32" s="1265"/>
      <c r="Y32" s="330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02"/>
      <c r="Q33" s="531" t="str">
        <f t="shared" si="11"/>
        <v>项目建筑规模</v>
      </c>
      <c r="R33" s="669" t="s">
        <v>18</v>
      </c>
      <c r="S33" s="670" t="e">
        <f t="shared" si="12"/>
        <v>#N/A</v>
      </c>
      <c r="T33" s="669" t="s">
        <v>18</v>
      </c>
      <c r="U33" s="670" t="e">
        <f t="shared" si="13"/>
        <v>#N/A</v>
      </c>
      <c r="V33" s="669" t="s">
        <v>18</v>
      </c>
      <c r="W33" s="670" t="e">
        <f t="shared" si="14"/>
        <v>#N/A</v>
      </c>
      <c r="X33" s="671"/>
      <c r="Y33" s="330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02"/>
      <c r="Q34" s="1263" t="str">
        <f t="shared" si="11"/>
        <v>建筑结构</v>
      </c>
      <c r="R34" s="667" t="s">
        <v>18</v>
      </c>
      <c r="S34" s="668">
        <f t="shared" si="12"/>
        <v>100</v>
      </c>
      <c r="T34" s="667" t="s">
        <v>18</v>
      </c>
      <c r="U34" s="668">
        <f t="shared" si="13"/>
        <v>100</v>
      </c>
      <c r="V34" s="667" t="s">
        <v>18</v>
      </c>
      <c r="W34" s="668">
        <f t="shared" si="14"/>
        <v>100</v>
      </c>
      <c r="X34" s="1265"/>
      <c r="Y34" s="330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02"/>
      <c r="Q35" s="1263" t="str">
        <f t="shared" si="11"/>
        <v>建筑品质</v>
      </c>
      <c r="R35" s="667" t="s">
        <v>18</v>
      </c>
      <c r="S35" s="668">
        <f t="shared" si="12"/>
        <v>100</v>
      </c>
      <c r="T35" s="667" t="s">
        <v>18</v>
      </c>
      <c r="U35" s="668">
        <f t="shared" si="13"/>
        <v>100</v>
      </c>
      <c r="V35" s="667" t="s">
        <v>18</v>
      </c>
      <c r="W35" s="668">
        <f t="shared" si="14"/>
        <v>100</v>
      </c>
      <c r="X35" s="1265"/>
      <c r="Y35" s="330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02"/>
      <c r="Q36" s="1263" t="str">
        <f t="shared" si="11"/>
        <v>公共部分装修</v>
      </c>
      <c r="R36" s="667" t="s">
        <v>18</v>
      </c>
      <c r="S36" s="668">
        <f t="shared" si="12"/>
        <v>100</v>
      </c>
      <c r="T36" s="667" t="s">
        <v>18</v>
      </c>
      <c r="U36" s="668">
        <f t="shared" si="13"/>
        <v>100</v>
      </c>
      <c r="V36" s="667" t="s">
        <v>18</v>
      </c>
      <c r="W36" s="668">
        <f t="shared" si="14"/>
        <v>100</v>
      </c>
      <c r="X36" s="1265"/>
      <c r="Y36" s="330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02"/>
      <c r="Q37" s="530" t="str">
        <f t="shared" si="11"/>
        <v>成新度</v>
      </c>
      <c r="R37" s="664" t="s">
        <v>18</v>
      </c>
      <c r="S37" s="665" t="e">
        <f t="shared" si="12"/>
        <v>#N/A</v>
      </c>
      <c r="T37" s="664" t="s">
        <v>18</v>
      </c>
      <c r="U37" s="665" t="e">
        <f t="shared" si="13"/>
        <v>#N/A</v>
      </c>
      <c r="V37" s="664" t="s">
        <v>18</v>
      </c>
      <c r="W37" s="665" t="e">
        <f t="shared" si="14"/>
        <v>#N/A</v>
      </c>
      <c r="X37" s="666"/>
      <c r="Y37" s="330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02" t="s">
        <v>1696</v>
      </c>
      <c r="Q38" s="1263" t="str">
        <f t="shared" si="11"/>
        <v>物业管理</v>
      </c>
      <c r="R38" s="667" t="s">
        <v>18</v>
      </c>
      <c r="S38" s="668">
        <f t="shared" si="12"/>
        <v>100</v>
      </c>
      <c r="T38" s="667" t="s">
        <v>18</v>
      </c>
      <c r="U38" s="668">
        <f t="shared" si="13"/>
        <v>100</v>
      </c>
      <c r="V38" s="667" t="s">
        <v>18</v>
      </c>
      <c r="W38" s="668">
        <f t="shared" si="14"/>
        <v>100</v>
      </c>
      <c r="X38" s="1265"/>
      <c r="Y38" s="330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02"/>
      <c r="Q39" s="1263" t="str">
        <f t="shared" si="11"/>
        <v>市政基础设施</v>
      </c>
      <c r="R39" s="667" t="s">
        <v>18</v>
      </c>
      <c r="S39" s="668">
        <f t="shared" si="12"/>
        <v>100</v>
      </c>
      <c r="T39" s="667" t="s">
        <v>18</v>
      </c>
      <c r="U39" s="668">
        <f t="shared" si="13"/>
        <v>100</v>
      </c>
      <c r="V39" s="667" t="s">
        <v>18</v>
      </c>
      <c r="W39" s="668">
        <f t="shared" si="14"/>
        <v>100</v>
      </c>
      <c r="X39" s="1265"/>
      <c r="Y39" s="330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02"/>
      <c r="Q40" s="1263" t="str">
        <f t="shared" si="11"/>
        <v>房型</v>
      </c>
      <c r="R40" s="667" t="s">
        <v>18</v>
      </c>
      <c r="S40" s="668">
        <f t="shared" si="12"/>
        <v>100</v>
      </c>
      <c r="T40" s="667" t="s">
        <v>18</v>
      </c>
      <c r="U40" s="668">
        <f t="shared" si="13"/>
        <v>100</v>
      </c>
      <c r="V40" s="667" t="s">
        <v>18</v>
      </c>
      <c r="W40" s="668">
        <f t="shared" si="14"/>
        <v>100</v>
      </c>
      <c r="X40" s="1265"/>
      <c r="Y40" s="3304"/>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02"/>
      <c r="Q41" s="531" t="str">
        <f t="shared" si="11"/>
        <v>单套/主力户型建筑面积</v>
      </c>
      <c r="R41" s="669" t="s">
        <v>18</v>
      </c>
      <c r="S41" s="670">
        <f t="shared" si="12"/>
        <v>100</v>
      </c>
      <c r="T41" s="669" t="s">
        <v>18</v>
      </c>
      <c r="U41" s="670">
        <f t="shared" si="13"/>
        <v>100</v>
      </c>
      <c r="V41" s="669" t="s">
        <v>18</v>
      </c>
      <c r="W41" s="670">
        <f t="shared" si="14"/>
        <v>100</v>
      </c>
      <c r="X41" s="671"/>
      <c r="Y41" s="330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02"/>
      <c r="Q42" s="1263" t="str">
        <f t="shared" si="11"/>
        <v>内部装修</v>
      </c>
      <c r="R42" s="667" t="s">
        <v>18</v>
      </c>
      <c r="S42" s="668">
        <f t="shared" si="12"/>
        <v>100</v>
      </c>
      <c r="T42" s="667" t="s">
        <v>18</v>
      </c>
      <c r="U42" s="668">
        <f t="shared" si="13"/>
        <v>100</v>
      </c>
      <c r="V42" s="667" t="s">
        <v>18</v>
      </c>
      <c r="W42" s="668">
        <f t="shared" si="14"/>
        <v>100</v>
      </c>
      <c r="X42" s="1265"/>
      <c r="Y42" s="3304"/>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02"/>
      <c r="Q43" s="1263" t="str">
        <f t="shared" si="11"/>
        <v>内部装修维护情况</v>
      </c>
      <c r="R43" s="667" t="s">
        <v>18</v>
      </c>
      <c r="S43" s="668">
        <f t="shared" si="12"/>
        <v>100</v>
      </c>
      <c r="T43" s="667" t="s">
        <v>18</v>
      </c>
      <c r="U43" s="668">
        <f t="shared" si="13"/>
        <v>100</v>
      </c>
      <c r="V43" s="667" t="s">
        <v>18</v>
      </c>
      <c r="W43" s="668">
        <f t="shared" si="14"/>
        <v>100</v>
      </c>
      <c r="X43" s="1265"/>
      <c r="Y43" s="330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02"/>
      <c r="Q44" s="530">
        <f t="shared" si="11"/>
        <v>111</v>
      </c>
      <c r="R44" s="664" t="s">
        <v>18</v>
      </c>
      <c r="S44" s="665">
        <f t="shared" si="12"/>
        <v>100</v>
      </c>
      <c r="T44" s="664" t="s">
        <v>18</v>
      </c>
      <c r="U44" s="665">
        <f t="shared" si="13"/>
        <v>100</v>
      </c>
      <c r="V44" s="664" t="s">
        <v>18</v>
      </c>
      <c r="W44" s="665">
        <f t="shared" si="14"/>
        <v>100</v>
      </c>
      <c r="X44" s="666"/>
      <c r="Y44" s="330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02"/>
      <c r="Q45" s="1263">
        <f t="shared" si="11"/>
        <v>111</v>
      </c>
      <c r="R45" s="667" t="s">
        <v>18</v>
      </c>
      <c r="S45" s="668">
        <f t="shared" si="12"/>
        <v>100</v>
      </c>
      <c r="T45" s="667" t="s">
        <v>18</v>
      </c>
      <c r="U45" s="668">
        <f t="shared" si="13"/>
        <v>100</v>
      </c>
      <c r="V45" s="667" t="s">
        <v>18</v>
      </c>
      <c r="W45" s="668">
        <f t="shared" si="14"/>
        <v>100</v>
      </c>
      <c r="X45" s="1265"/>
      <c r="Y45" s="3304"/>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03"/>
      <c r="Q46" s="1263">
        <f t="shared" si="11"/>
        <v>111</v>
      </c>
      <c r="R46" s="667" t="s">
        <v>17</v>
      </c>
      <c r="S46" s="668">
        <f t="shared" si="12"/>
        <v>100</v>
      </c>
      <c r="T46" s="667" t="s">
        <v>17</v>
      </c>
      <c r="U46" s="668">
        <f t="shared" si="13"/>
        <v>100</v>
      </c>
      <c r="V46" s="667" t="s">
        <v>17</v>
      </c>
      <c r="W46" s="668">
        <f t="shared" si="14"/>
        <v>100</v>
      </c>
      <c r="X46" s="1265"/>
      <c r="Y46" s="3305"/>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5"/>
      <c r="M47" s="2488"/>
      <c r="N47" s="2488"/>
      <c r="O47" s="2488"/>
      <c r="P47" s="3297" t="str">
        <f>A47</f>
        <v>成交单价（元/平方米）</v>
      </c>
      <c r="Q47" s="3297"/>
      <c r="R47" s="3298">
        <f>E47</f>
        <v>0</v>
      </c>
      <c r="S47" s="3298"/>
      <c r="T47" s="3298">
        <f>G47</f>
        <v>0</v>
      </c>
      <c r="U47" s="3298"/>
      <c r="V47" s="3298">
        <f>I47</f>
        <v>0</v>
      </c>
      <c r="W47" s="3298"/>
      <c r="X47" s="385"/>
      <c r="Y47" s="673"/>
      <c r="Z47" s="385"/>
      <c r="AA47" s="385"/>
      <c r="AB47" s="385"/>
      <c r="AC47" s="385"/>
    </row>
    <row r="48" spans="1:29" ht="15" thickBot="1">
      <c r="A48" s="423" t="s">
        <v>1709</v>
      </c>
      <c r="B48" s="424"/>
      <c r="C48" s="1082" t="e">
        <f>R49</f>
        <v>#DIV/0!</v>
      </c>
      <c r="D48" s="2141" t="s">
        <v>2137</v>
      </c>
      <c r="E48" s="1083" t="e">
        <f>R48</f>
        <v>#DIV/0!</v>
      </c>
      <c r="F48" s="2142"/>
      <c r="G48" s="1082" t="e">
        <f>T48</f>
        <v>#DIV/0!</v>
      </c>
      <c r="H48" s="2142"/>
      <c r="I48" s="1083" t="e">
        <f>V48</f>
        <v>#DIV/0!</v>
      </c>
      <c r="J48" s="2142"/>
      <c r="K48" s="2143">
        <f>F48+H48+J48</f>
        <v>0</v>
      </c>
      <c r="L48" s="2495"/>
      <c r="M48" s="2488"/>
      <c r="N48" s="2488"/>
      <c r="O48" s="2488"/>
      <c r="P48" s="3297" t="str">
        <f>A48</f>
        <v>比较价值（元/平方米）</v>
      </c>
      <c r="Q48" s="3297"/>
      <c r="R48" s="3298" t="e">
        <f>IF(F1="售价",ROUND(PRODUCT(R47,AA7:AA46),0),ROUND(PRODUCT(R47,AA7:AA46),1))</f>
        <v>#DIV/0!</v>
      </c>
      <c r="S48" s="3298"/>
      <c r="T48" s="3298" t="e">
        <f>IF(F1="售价",ROUND(PRODUCT(T47,AB7:AB46),0),ROUND(PRODUCT(T47,AB7:AB46),1))</f>
        <v>#DIV/0!</v>
      </c>
      <c r="U48" s="3298"/>
      <c r="V48" s="3298" t="e">
        <f>IF(F1="售价",ROUND(PRODUCT(V47,AC7:AC46),0),ROUND(PRODUCT(V47,AC7:AC46),1))</f>
        <v>#DIV/0!</v>
      </c>
      <c r="W48" s="3298"/>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5"/>
      <c r="M49" s="2488"/>
      <c r="N49" s="2488"/>
      <c r="O49" s="2488"/>
      <c r="P49" s="3294" t="str">
        <f>A49</f>
        <v>估价对象XX用房的比较价值（楼面单价，元/平方米）</v>
      </c>
      <c r="Q49" s="3295"/>
      <c r="R49" s="3296" t="e">
        <f>IF(F1="售价",ROUND(IF(D48="简单平均",AVERAGE(R48:V48),R48*F48+T48*H48+V48*J48),0),ROUND(IF(D48="简单平均",AVERAGE(R48:V48),R48*F48+T48*H48+V48*J48),1))</f>
        <v>#DIV/0!</v>
      </c>
      <c r="S49" s="3296"/>
      <c r="T49" s="3296"/>
      <c r="U49" s="3296"/>
      <c r="V49" s="3296"/>
      <c r="W49" s="329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#DIV/0!</v>
      </c>
      <c r="C3" s="344" t="s">
        <v>1768</v>
      </c>
      <c r="D3" s="343">
        <f>IF(D1="",'数据-汇总表'!E3,SUMIF('数据-汇总表'!$C19:$C33,D1,'数据-汇总表'!$E19:$E33))</f>
        <v>0</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4.4">
      <c r="A4" s="345" t="s">
        <v>1769</v>
      </c>
      <c r="B4" s="346"/>
      <c r="C4" s="3313" t="s">
        <v>1770</v>
      </c>
      <c r="D4" s="3314"/>
      <c r="E4" s="3315" t="s">
        <v>1771</v>
      </c>
      <c r="F4" s="3316"/>
      <c r="G4" s="3313" t="s">
        <v>1772</v>
      </c>
      <c r="H4" s="3314"/>
      <c r="I4" s="3313" t="s">
        <v>1773</v>
      </c>
      <c r="J4" s="3314"/>
      <c r="K4" s="537" t="s">
        <v>1774</v>
      </c>
      <c r="L4" s="2487"/>
      <c r="M4" s="2488"/>
      <c r="N4" s="2488"/>
      <c r="O4" s="2488"/>
      <c r="P4" s="3317" t="s">
        <v>1775</v>
      </c>
      <c r="Q4" s="3318"/>
      <c r="R4" s="3323" t="s">
        <v>1771</v>
      </c>
      <c r="S4" s="3324"/>
      <c r="T4" s="3323" t="s">
        <v>1772</v>
      </c>
      <c r="U4" s="3324"/>
      <c r="V4" s="3298" t="s">
        <v>1773</v>
      </c>
      <c r="W4" s="3298"/>
      <c r="X4" s="1265"/>
      <c r="Y4" s="3323" t="s">
        <v>1775</v>
      </c>
      <c r="Z4" s="3324"/>
      <c r="AA4" s="3310" t="s">
        <v>1771</v>
      </c>
      <c r="AB4" s="3298" t="s">
        <v>1772</v>
      </c>
      <c r="AC4" s="3310" t="s">
        <v>1773</v>
      </c>
    </row>
    <row r="5" spans="1:29">
      <c r="A5" s="348"/>
      <c r="B5" s="349"/>
      <c r="C5" s="3331" t="s">
        <v>1673</v>
      </c>
      <c r="D5" s="3332"/>
      <c r="E5" s="3338" t="s">
        <v>1674</v>
      </c>
      <c r="F5" s="3339"/>
      <c r="G5" s="3331" t="s">
        <v>1675</v>
      </c>
      <c r="H5" s="3332"/>
      <c r="I5" s="3331" t="s">
        <v>1676</v>
      </c>
      <c r="J5" s="3332"/>
      <c r="K5" s="537"/>
      <c r="L5" s="2487"/>
      <c r="M5" s="2488"/>
      <c r="N5" s="2488"/>
      <c r="O5" s="2488"/>
      <c r="P5" s="3319"/>
      <c r="Q5" s="3320"/>
      <c r="R5" s="3325"/>
      <c r="S5" s="3326"/>
      <c r="T5" s="3325"/>
      <c r="U5" s="3326"/>
      <c r="V5" s="3298"/>
      <c r="W5" s="3298"/>
      <c r="X5" s="1265"/>
      <c r="Y5" s="3325"/>
      <c r="Z5" s="3326"/>
      <c r="AA5" s="3311"/>
      <c r="AB5" s="3298"/>
      <c r="AC5" s="3311"/>
    </row>
    <row r="6" spans="1:29" ht="15" thickBot="1">
      <c r="A6" s="350"/>
      <c r="B6" s="351"/>
      <c r="C6" s="3329" t="s">
        <v>1677</v>
      </c>
      <c r="D6" s="3330"/>
      <c r="E6" s="3336" t="s">
        <v>1677</v>
      </c>
      <c r="F6" s="3337"/>
      <c r="G6" s="3329" t="s">
        <v>1677</v>
      </c>
      <c r="H6" s="3330"/>
      <c r="I6" s="3329" t="s">
        <v>1677</v>
      </c>
      <c r="J6" s="3330"/>
      <c r="K6" s="537" t="s">
        <v>1678</v>
      </c>
      <c r="L6" s="2487"/>
      <c r="M6" s="2488"/>
      <c r="N6" s="2488"/>
      <c r="O6" s="2488"/>
      <c r="P6" s="3321"/>
      <c r="Q6" s="3322"/>
      <c r="R6" s="3325"/>
      <c r="S6" s="3326"/>
      <c r="T6" s="3327"/>
      <c r="U6" s="3328"/>
      <c r="V6" s="3298"/>
      <c r="W6" s="3298"/>
      <c r="X6" s="1265"/>
      <c r="Y6" s="3327"/>
      <c r="Z6" s="3328"/>
      <c r="AA6" s="3312"/>
      <c r="AB6" s="3298"/>
      <c r="AC6" s="3312"/>
    </row>
    <row r="7" spans="1:29" s="102" customFormat="1" ht="15" thickBot="1">
      <c r="A7" s="352" t="s">
        <v>1679</v>
      </c>
      <c r="B7" s="353"/>
      <c r="C7" s="354">
        <f>'数据-取费表'!B2</f>
        <v>45845</v>
      </c>
      <c r="D7" s="355">
        <v>100</v>
      </c>
      <c r="E7" s="356"/>
      <c r="F7" s="357">
        <f>SUMIF(58:58,YEAR(E7)&amp;"-"&amp;MONTH(E7),59:59)</f>
        <v>0</v>
      </c>
      <c r="G7" s="356"/>
      <c r="H7" s="355">
        <f>SUMIF(58:58,YEAR(G7)&amp;"-"&amp;MONTH(G7),59:59)</f>
        <v>0</v>
      </c>
      <c r="I7" s="356"/>
      <c r="J7" s="355">
        <f>SUMIF(58:58,YEAR(I7)&amp;"-"&amp;MONTH(I7),59:59)</f>
        <v>0</v>
      </c>
      <c r="K7" s="38"/>
      <c r="L7" s="2489"/>
      <c r="M7" s="2440"/>
      <c r="N7" s="2440"/>
      <c r="O7" s="2440"/>
      <c r="P7" s="3333" t="s">
        <v>1680</v>
      </c>
      <c r="Q7" s="3335"/>
      <c r="R7" s="664" t="s">
        <v>14</v>
      </c>
      <c r="S7" s="665">
        <f t="shared" ref="S7:S15" si="0">F7</f>
        <v>0</v>
      </c>
      <c r="T7" s="664" t="s">
        <v>14</v>
      </c>
      <c r="U7" s="665">
        <f t="shared" ref="U7:U15" si="1">H7</f>
        <v>0</v>
      </c>
      <c r="V7" s="664" t="s">
        <v>14</v>
      </c>
      <c r="W7" s="665">
        <f t="shared" ref="W7:W15" si="2">J7</f>
        <v>0</v>
      </c>
      <c r="X7" s="666"/>
      <c r="Y7" s="3333" t="s">
        <v>1680</v>
      </c>
      <c r="Z7" s="3334"/>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33" t="s">
        <v>1683</v>
      </c>
      <c r="Q8" s="3334"/>
      <c r="R8" s="664" t="s">
        <v>14</v>
      </c>
      <c r="S8" s="665">
        <f t="shared" si="0"/>
        <v>100</v>
      </c>
      <c r="T8" s="664" t="s">
        <v>14</v>
      </c>
      <c r="U8" s="665">
        <f t="shared" si="1"/>
        <v>100</v>
      </c>
      <c r="V8" s="664" t="s">
        <v>14</v>
      </c>
      <c r="W8" s="665">
        <f t="shared" si="2"/>
        <v>100</v>
      </c>
      <c r="X8" s="666"/>
      <c r="Y8" s="3333" t="s">
        <v>1683</v>
      </c>
      <c r="Z8" s="3334"/>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08" t="s">
        <v>1686</v>
      </c>
      <c r="Q9" s="530" t="str">
        <f t="shared" ref="Q9:Q15" si="6">B9</f>
        <v>用途</v>
      </c>
      <c r="R9" s="664" t="s">
        <v>14</v>
      </c>
      <c r="S9" s="665">
        <f t="shared" si="0"/>
        <v>100</v>
      </c>
      <c r="T9" s="664" t="s">
        <v>14</v>
      </c>
      <c r="U9" s="665">
        <f t="shared" si="1"/>
        <v>100</v>
      </c>
      <c r="V9" s="664" t="s">
        <v>14</v>
      </c>
      <c r="W9" s="665">
        <f t="shared" si="2"/>
        <v>100</v>
      </c>
      <c r="X9" s="666"/>
      <c r="Y9" s="3309"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08"/>
      <c r="Q10" s="530" t="str">
        <f t="shared" si="6"/>
        <v>土地使用年限（年）</v>
      </c>
      <c r="R10" s="664" t="s">
        <v>14</v>
      </c>
      <c r="S10" s="665">
        <f t="shared" si="0"/>
        <v>100</v>
      </c>
      <c r="T10" s="664" t="s">
        <v>14</v>
      </c>
      <c r="U10" s="665">
        <f t="shared" si="1"/>
        <v>100</v>
      </c>
      <c r="V10" s="664" t="s">
        <v>14</v>
      </c>
      <c r="W10" s="665">
        <f t="shared" si="2"/>
        <v>100</v>
      </c>
      <c r="X10" s="666"/>
      <c r="Y10" s="330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08"/>
      <c r="Q11" s="530" t="str">
        <f t="shared" si="6"/>
        <v>容积率</v>
      </c>
      <c r="R11" s="664" t="s">
        <v>14</v>
      </c>
      <c r="S11" s="665" t="e">
        <f t="shared" si="0"/>
        <v>#N/A</v>
      </c>
      <c r="T11" s="664" t="s">
        <v>14</v>
      </c>
      <c r="U11" s="665" t="e">
        <f t="shared" si="1"/>
        <v>#N/A</v>
      </c>
      <c r="V11" s="664" t="s">
        <v>14</v>
      </c>
      <c r="W11" s="665" t="e">
        <f t="shared" si="2"/>
        <v>#N/A</v>
      </c>
      <c r="X11" s="666"/>
      <c r="Y11" s="330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08"/>
      <c r="Q12" s="530">
        <f t="shared" si="6"/>
        <v>111</v>
      </c>
      <c r="R12" s="664" t="s">
        <v>14</v>
      </c>
      <c r="S12" s="665">
        <f t="shared" si="0"/>
        <v>100</v>
      </c>
      <c r="T12" s="664" t="s">
        <v>14</v>
      </c>
      <c r="U12" s="665">
        <f t="shared" si="1"/>
        <v>100</v>
      </c>
      <c r="V12" s="664" t="s">
        <v>14</v>
      </c>
      <c r="W12" s="665">
        <f t="shared" si="2"/>
        <v>100</v>
      </c>
      <c r="X12" s="666"/>
      <c r="Y12" s="330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08"/>
      <c r="Q13" s="530">
        <f t="shared" si="6"/>
        <v>111</v>
      </c>
      <c r="R13" s="664" t="s">
        <v>14</v>
      </c>
      <c r="S13" s="665">
        <f t="shared" si="0"/>
        <v>100</v>
      </c>
      <c r="T13" s="664" t="s">
        <v>14</v>
      </c>
      <c r="U13" s="665">
        <f t="shared" si="1"/>
        <v>100</v>
      </c>
      <c r="V13" s="664" t="s">
        <v>14</v>
      </c>
      <c r="W13" s="665">
        <f t="shared" si="2"/>
        <v>100</v>
      </c>
      <c r="X13" s="666"/>
      <c r="Y13" s="3309"/>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08"/>
      <c r="Q14" s="530">
        <f t="shared" si="6"/>
        <v>111</v>
      </c>
      <c r="R14" s="664" t="s">
        <v>14</v>
      </c>
      <c r="S14" s="665">
        <f t="shared" si="0"/>
        <v>100</v>
      </c>
      <c r="T14" s="664" t="s">
        <v>14</v>
      </c>
      <c r="U14" s="665">
        <f t="shared" si="1"/>
        <v>100</v>
      </c>
      <c r="V14" s="664" t="s">
        <v>14</v>
      </c>
      <c r="W14" s="665">
        <f t="shared" si="2"/>
        <v>100</v>
      </c>
      <c r="X14" s="666"/>
      <c r="Y14" s="3309"/>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06" t="s">
        <v>1691</v>
      </c>
      <c r="Q15" s="1263" t="str">
        <f t="shared" si="6"/>
        <v>商业繁华度</v>
      </c>
      <c r="R15" s="667" t="s">
        <v>14</v>
      </c>
      <c r="S15" s="668">
        <f t="shared" si="0"/>
        <v>100</v>
      </c>
      <c r="T15" s="667" t="s">
        <v>14</v>
      </c>
      <c r="U15" s="668">
        <f t="shared" si="1"/>
        <v>100</v>
      </c>
      <c r="V15" s="667" t="s">
        <v>14</v>
      </c>
      <c r="W15" s="668">
        <f t="shared" si="2"/>
        <v>100</v>
      </c>
      <c r="X15" s="1265"/>
      <c r="Y15" s="329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07"/>
      <c r="Q16" s="1263"/>
      <c r="R16" s="667"/>
      <c r="S16" s="668"/>
      <c r="T16" s="667"/>
      <c r="U16" s="668"/>
      <c r="V16" s="667"/>
      <c r="W16" s="668"/>
      <c r="X16" s="1265"/>
      <c r="Y16" s="3300"/>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07"/>
      <c r="Q17" s="1263" t="str">
        <f>B17</f>
        <v>交通便捷度</v>
      </c>
      <c r="R17" s="667" t="s">
        <v>14</v>
      </c>
      <c r="S17" s="668">
        <f>F17</f>
        <v>100</v>
      </c>
      <c r="T17" s="667" t="s">
        <v>14</v>
      </c>
      <c r="U17" s="668">
        <f>H17</f>
        <v>100</v>
      </c>
      <c r="V17" s="667" t="s">
        <v>14</v>
      </c>
      <c r="W17" s="668">
        <f>J17</f>
        <v>100</v>
      </c>
      <c r="X17" s="1265"/>
      <c r="Y17" s="330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07"/>
      <c r="Q18" s="1263"/>
      <c r="R18" s="667"/>
      <c r="S18" s="668"/>
      <c r="T18" s="667"/>
      <c r="U18" s="668"/>
      <c r="V18" s="667"/>
      <c r="W18" s="668"/>
      <c r="X18" s="1265"/>
      <c r="Y18" s="3300"/>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07"/>
      <c r="Q19" s="1263" t="str">
        <f>B19</f>
        <v>公共配套设施</v>
      </c>
      <c r="R19" s="667" t="s">
        <v>14</v>
      </c>
      <c r="S19" s="668">
        <f>F19</f>
        <v>100</v>
      </c>
      <c r="T19" s="667" t="s">
        <v>14</v>
      </c>
      <c r="U19" s="668">
        <f>H19</f>
        <v>100</v>
      </c>
      <c r="V19" s="667" t="s">
        <v>14</v>
      </c>
      <c r="W19" s="668">
        <f>J19</f>
        <v>100</v>
      </c>
      <c r="X19" s="1265"/>
      <c r="Y19" s="330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07"/>
      <c r="Q20" s="1263"/>
      <c r="R20" s="667"/>
      <c r="S20" s="668"/>
      <c r="T20" s="667"/>
      <c r="U20" s="668"/>
      <c r="V20" s="667"/>
      <c r="W20" s="668"/>
      <c r="X20" s="1265"/>
      <c r="Y20" s="3300"/>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07"/>
      <c r="Q21" s="1263" t="str">
        <f>B21</f>
        <v>基础设施水平</v>
      </c>
      <c r="R21" s="667" t="s">
        <v>14</v>
      </c>
      <c r="S21" s="668">
        <f>F21</f>
        <v>100</v>
      </c>
      <c r="T21" s="667" t="s">
        <v>14</v>
      </c>
      <c r="U21" s="668">
        <f>H21</f>
        <v>100</v>
      </c>
      <c r="V21" s="667" t="s">
        <v>14</v>
      </c>
      <c r="W21" s="668">
        <f>J21</f>
        <v>100</v>
      </c>
      <c r="X21" s="1265"/>
      <c r="Y21" s="330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07"/>
      <c r="Q22" s="1263"/>
      <c r="R22" s="667"/>
      <c r="S22" s="668"/>
      <c r="T22" s="667"/>
      <c r="U22" s="668"/>
      <c r="V22" s="667"/>
      <c r="W22" s="668"/>
      <c r="X22" s="1265"/>
      <c r="Y22" s="3300"/>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07"/>
      <c r="Q23" s="1263" t="str">
        <f>B23</f>
        <v>自然及人文环境</v>
      </c>
      <c r="R23" s="667" t="s">
        <v>14</v>
      </c>
      <c r="S23" s="668">
        <f>F23</f>
        <v>100</v>
      </c>
      <c r="T23" s="667" t="s">
        <v>14</v>
      </c>
      <c r="U23" s="668">
        <f>H23</f>
        <v>100</v>
      </c>
      <c r="V23" s="667" t="s">
        <v>14</v>
      </c>
      <c r="W23" s="668">
        <f>J23</f>
        <v>100</v>
      </c>
      <c r="X23" s="1265"/>
      <c r="Y23" s="330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07"/>
      <c r="Q24" s="1263"/>
      <c r="R24" s="667"/>
      <c r="S24" s="668"/>
      <c r="T24" s="667"/>
      <c r="U24" s="668"/>
      <c r="V24" s="667"/>
      <c r="W24" s="668"/>
      <c r="X24" s="1265"/>
      <c r="Y24" s="330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07"/>
      <c r="Q25" s="1263" t="str">
        <f t="shared" ref="Q25:Q46" si="11">B25</f>
        <v>临街状况</v>
      </c>
      <c r="R25" s="667" t="s">
        <v>14</v>
      </c>
      <c r="S25" s="668">
        <f>F25</f>
        <v>100</v>
      </c>
      <c r="T25" s="667" t="s">
        <v>14</v>
      </c>
      <c r="U25" s="668">
        <f>H25</f>
        <v>100</v>
      </c>
      <c r="V25" s="667" t="s">
        <v>14</v>
      </c>
      <c r="W25" s="668">
        <f>J25</f>
        <v>100</v>
      </c>
      <c r="X25" s="1265"/>
      <c r="Y25" s="330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07"/>
      <c r="Q26" s="1263" t="str">
        <f t="shared" si="11"/>
        <v>平面位置/可视性</v>
      </c>
      <c r="R26" s="667" t="s">
        <v>14</v>
      </c>
      <c r="S26" s="668">
        <f>F26</f>
        <v>100</v>
      </c>
      <c r="T26" s="667" t="s">
        <v>14</v>
      </c>
      <c r="U26" s="668">
        <f>H26</f>
        <v>100</v>
      </c>
      <c r="V26" s="667" t="s">
        <v>14</v>
      </c>
      <c r="W26" s="668">
        <f>J26</f>
        <v>100</v>
      </c>
      <c r="X26" s="1265"/>
      <c r="Y26" s="330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07"/>
      <c r="Q27" s="530" t="str">
        <f t="shared" si="11"/>
        <v>人流量</v>
      </c>
      <c r="R27" s="664" t="s">
        <v>14</v>
      </c>
      <c r="S27" s="665">
        <f>F27</f>
        <v>100</v>
      </c>
      <c r="T27" s="664" t="s">
        <v>14</v>
      </c>
      <c r="U27" s="665">
        <f>H27</f>
        <v>100</v>
      </c>
      <c r="V27" s="664" t="s">
        <v>14</v>
      </c>
      <c r="W27" s="665">
        <f>J27</f>
        <v>100</v>
      </c>
      <c r="X27" s="666"/>
      <c r="Y27" s="330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0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0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07"/>
      <c r="Q29" s="1263">
        <f t="shared" si="11"/>
        <v>111</v>
      </c>
      <c r="R29" s="667" t="s">
        <v>14</v>
      </c>
      <c r="S29" s="668">
        <f t="shared" si="12"/>
        <v>100</v>
      </c>
      <c r="T29" s="667" t="s">
        <v>14</v>
      </c>
      <c r="U29" s="668">
        <f t="shared" si="13"/>
        <v>100</v>
      </c>
      <c r="V29" s="667" t="s">
        <v>14</v>
      </c>
      <c r="W29" s="668">
        <f t="shared" si="14"/>
        <v>100</v>
      </c>
      <c r="X29" s="1265"/>
      <c r="Y29" s="330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07"/>
      <c r="Q30" s="1263">
        <f t="shared" si="11"/>
        <v>111</v>
      </c>
      <c r="R30" s="667" t="s">
        <v>14</v>
      </c>
      <c r="S30" s="668">
        <f t="shared" si="12"/>
        <v>100</v>
      </c>
      <c r="T30" s="667" t="s">
        <v>14</v>
      </c>
      <c r="U30" s="668">
        <f t="shared" si="13"/>
        <v>100</v>
      </c>
      <c r="V30" s="667" t="s">
        <v>14</v>
      </c>
      <c r="W30" s="668">
        <f t="shared" si="14"/>
        <v>100</v>
      </c>
      <c r="X30" s="1265"/>
      <c r="Y30" s="3300"/>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07"/>
      <c r="Q31" s="1263">
        <f t="shared" si="11"/>
        <v>111</v>
      </c>
      <c r="R31" s="667" t="s">
        <v>14</v>
      </c>
      <c r="S31" s="668">
        <f t="shared" si="12"/>
        <v>100</v>
      </c>
      <c r="T31" s="667" t="s">
        <v>14</v>
      </c>
      <c r="U31" s="668">
        <f t="shared" si="13"/>
        <v>100</v>
      </c>
      <c r="V31" s="667" t="s">
        <v>14</v>
      </c>
      <c r="W31" s="668">
        <f t="shared" si="14"/>
        <v>100</v>
      </c>
      <c r="X31" s="1265"/>
      <c r="Y31" s="330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01" t="s">
        <v>1696</v>
      </c>
      <c r="Q32" s="1263" t="str">
        <f t="shared" si="11"/>
        <v>商业类型</v>
      </c>
      <c r="R32" s="667" t="s">
        <v>14</v>
      </c>
      <c r="S32" s="668">
        <f t="shared" si="12"/>
        <v>100</v>
      </c>
      <c r="T32" s="667" t="s">
        <v>14</v>
      </c>
      <c r="U32" s="668">
        <f t="shared" si="13"/>
        <v>100</v>
      </c>
      <c r="V32" s="667" t="s">
        <v>14</v>
      </c>
      <c r="W32" s="668">
        <f t="shared" si="14"/>
        <v>100</v>
      </c>
      <c r="X32" s="1265"/>
      <c r="Y32" s="330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02"/>
      <c r="Q33" s="531" t="str">
        <f t="shared" si="11"/>
        <v>项目建筑规模</v>
      </c>
      <c r="R33" s="669" t="s">
        <v>14</v>
      </c>
      <c r="S33" s="670" t="e">
        <f t="shared" si="12"/>
        <v>#N/A</v>
      </c>
      <c r="T33" s="669" t="s">
        <v>14</v>
      </c>
      <c r="U33" s="670" t="e">
        <f t="shared" si="13"/>
        <v>#N/A</v>
      </c>
      <c r="V33" s="669" t="s">
        <v>14</v>
      </c>
      <c r="W33" s="670" t="e">
        <f t="shared" si="14"/>
        <v>#N/A</v>
      </c>
      <c r="X33" s="671"/>
      <c r="Y33" s="330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02"/>
      <c r="Q34" s="1263" t="str">
        <f t="shared" si="11"/>
        <v>建筑结构</v>
      </c>
      <c r="R34" s="667" t="s">
        <v>14</v>
      </c>
      <c r="S34" s="668">
        <f t="shared" si="12"/>
        <v>100</v>
      </c>
      <c r="T34" s="667" t="s">
        <v>14</v>
      </c>
      <c r="U34" s="668">
        <f t="shared" si="13"/>
        <v>100</v>
      </c>
      <c r="V34" s="667" t="s">
        <v>14</v>
      </c>
      <c r="W34" s="668">
        <f t="shared" si="14"/>
        <v>100</v>
      </c>
      <c r="X34" s="1265"/>
      <c r="Y34" s="330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02"/>
      <c r="Q35" s="1263" t="str">
        <f t="shared" si="11"/>
        <v>公共部分装修</v>
      </c>
      <c r="R35" s="667" t="s">
        <v>14</v>
      </c>
      <c r="S35" s="668">
        <f t="shared" si="12"/>
        <v>100</v>
      </c>
      <c r="T35" s="667" t="s">
        <v>14</v>
      </c>
      <c r="U35" s="668">
        <f t="shared" si="13"/>
        <v>100</v>
      </c>
      <c r="V35" s="667" t="s">
        <v>14</v>
      </c>
      <c r="W35" s="668">
        <f t="shared" si="14"/>
        <v>100</v>
      </c>
      <c r="X35" s="1265"/>
      <c r="Y35" s="330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02"/>
      <c r="Q36" s="1263" t="str">
        <f t="shared" si="11"/>
        <v>成新度</v>
      </c>
      <c r="R36" s="667" t="s">
        <v>14</v>
      </c>
      <c r="S36" s="668" t="e">
        <f t="shared" si="12"/>
        <v>#N/A</v>
      </c>
      <c r="T36" s="667" t="s">
        <v>14</v>
      </c>
      <c r="U36" s="668" t="e">
        <f t="shared" si="13"/>
        <v>#N/A</v>
      </c>
      <c r="V36" s="667" t="s">
        <v>14</v>
      </c>
      <c r="W36" s="668" t="e">
        <f t="shared" si="14"/>
        <v>#N/A</v>
      </c>
      <c r="X36" s="1265"/>
      <c r="Y36" s="330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02"/>
      <c r="Q37" s="530" t="str">
        <f t="shared" si="11"/>
        <v>市政基础设施</v>
      </c>
      <c r="R37" s="664" t="s">
        <v>14</v>
      </c>
      <c r="S37" s="665">
        <f t="shared" si="12"/>
        <v>100</v>
      </c>
      <c r="T37" s="664" t="s">
        <v>14</v>
      </c>
      <c r="U37" s="665">
        <f t="shared" si="13"/>
        <v>100</v>
      </c>
      <c r="V37" s="664" t="s">
        <v>14</v>
      </c>
      <c r="W37" s="665">
        <f t="shared" si="14"/>
        <v>100</v>
      </c>
      <c r="X37" s="666"/>
      <c r="Y37" s="330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02" t="s">
        <v>1696</v>
      </c>
      <c r="Q38" s="1263" t="str">
        <f t="shared" si="11"/>
        <v>业态</v>
      </c>
      <c r="R38" s="667" t="s">
        <v>14</v>
      </c>
      <c r="S38" s="668">
        <f t="shared" si="12"/>
        <v>100</v>
      </c>
      <c r="T38" s="667" t="s">
        <v>14</v>
      </c>
      <c r="U38" s="668">
        <f t="shared" si="13"/>
        <v>100</v>
      </c>
      <c r="V38" s="667" t="s">
        <v>14</v>
      </c>
      <c r="W38" s="668">
        <f t="shared" si="14"/>
        <v>100</v>
      </c>
      <c r="X38" s="1265"/>
      <c r="Y38" s="330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02"/>
      <c r="Q39" s="1263" t="str">
        <f t="shared" si="11"/>
        <v>层高</v>
      </c>
      <c r="R39" s="667" t="s">
        <v>14</v>
      </c>
      <c r="S39" s="668">
        <f t="shared" si="12"/>
        <v>100</v>
      </c>
      <c r="T39" s="667" t="s">
        <v>14</v>
      </c>
      <c r="U39" s="668">
        <f t="shared" si="13"/>
        <v>100</v>
      </c>
      <c r="V39" s="667" t="s">
        <v>14</v>
      </c>
      <c r="W39" s="668">
        <f t="shared" si="14"/>
        <v>100</v>
      </c>
      <c r="X39" s="1265"/>
      <c r="Y39" s="330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02"/>
      <c r="Q40" s="1263" t="str">
        <f t="shared" si="11"/>
        <v>单套建筑面积</v>
      </c>
      <c r="R40" s="667" t="s">
        <v>14</v>
      </c>
      <c r="S40" s="668">
        <f t="shared" si="12"/>
        <v>100</v>
      </c>
      <c r="T40" s="667" t="s">
        <v>14</v>
      </c>
      <c r="U40" s="668">
        <f t="shared" si="13"/>
        <v>100</v>
      </c>
      <c r="V40" s="667" t="s">
        <v>14</v>
      </c>
      <c r="W40" s="668">
        <f t="shared" si="14"/>
        <v>100</v>
      </c>
      <c r="X40" s="1265"/>
      <c r="Y40" s="330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02"/>
      <c r="Q41" s="531" t="str">
        <f t="shared" si="11"/>
        <v>进深比</v>
      </c>
      <c r="R41" s="669" t="s">
        <v>14</v>
      </c>
      <c r="S41" s="670">
        <f t="shared" si="12"/>
        <v>100</v>
      </c>
      <c r="T41" s="669" t="s">
        <v>14</v>
      </c>
      <c r="U41" s="670">
        <f t="shared" si="13"/>
        <v>100</v>
      </c>
      <c r="V41" s="669" t="s">
        <v>14</v>
      </c>
      <c r="W41" s="670">
        <f t="shared" si="14"/>
        <v>100</v>
      </c>
      <c r="X41" s="671"/>
      <c r="Y41" s="330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02"/>
      <c r="Q42" s="1263" t="str">
        <f t="shared" si="11"/>
        <v>内部装修</v>
      </c>
      <c r="R42" s="667" t="s">
        <v>14</v>
      </c>
      <c r="S42" s="668">
        <f t="shared" si="12"/>
        <v>100</v>
      </c>
      <c r="T42" s="667" t="s">
        <v>14</v>
      </c>
      <c r="U42" s="668">
        <f t="shared" si="13"/>
        <v>100</v>
      </c>
      <c r="V42" s="667" t="s">
        <v>14</v>
      </c>
      <c r="W42" s="668">
        <f t="shared" si="14"/>
        <v>100</v>
      </c>
      <c r="X42" s="1265"/>
      <c r="Y42" s="3304"/>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02"/>
      <c r="Q43" s="1263" t="str">
        <f t="shared" si="11"/>
        <v>内部装修维护情况</v>
      </c>
      <c r="R43" s="667" t="s">
        <v>14</v>
      </c>
      <c r="S43" s="668">
        <f t="shared" si="12"/>
        <v>100</v>
      </c>
      <c r="T43" s="667" t="s">
        <v>14</v>
      </c>
      <c r="U43" s="668">
        <f t="shared" si="13"/>
        <v>100</v>
      </c>
      <c r="V43" s="667" t="s">
        <v>14</v>
      </c>
      <c r="W43" s="668">
        <f t="shared" si="14"/>
        <v>100</v>
      </c>
      <c r="X43" s="1265"/>
      <c r="Y43" s="330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02"/>
      <c r="Q44" s="530">
        <f t="shared" si="11"/>
        <v>111</v>
      </c>
      <c r="R44" s="664" t="s">
        <v>14</v>
      </c>
      <c r="S44" s="665">
        <f t="shared" si="12"/>
        <v>100</v>
      </c>
      <c r="T44" s="664" t="s">
        <v>14</v>
      </c>
      <c r="U44" s="665">
        <f t="shared" si="13"/>
        <v>100</v>
      </c>
      <c r="V44" s="664" t="s">
        <v>14</v>
      </c>
      <c r="W44" s="665">
        <f t="shared" si="14"/>
        <v>100</v>
      </c>
      <c r="X44" s="666"/>
      <c r="Y44" s="330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02"/>
      <c r="Q45" s="1263">
        <f t="shared" si="11"/>
        <v>111</v>
      </c>
      <c r="R45" s="667" t="s">
        <v>14</v>
      </c>
      <c r="S45" s="668">
        <f t="shared" si="12"/>
        <v>100</v>
      </c>
      <c r="T45" s="667" t="s">
        <v>14</v>
      </c>
      <c r="U45" s="668">
        <f t="shared" si="13"/>
        <v>100</v>
      </c>
      <c r="V45" s="667" t="s">
        <v>14</v>
      </c>
      <c r="W45" s="668">
        <f t="shared" si="14"/>
        <v>100</v>
      </c>
      <c r="X45" s="1265"/>
      <c r="Y45" s="3304"/>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03"/>
      <c r="Q46" s="1263">
        <f t="shared" si="11"/>
        <v>111</v>
      </c>
      <c r="R46" s="667" t="s">
        <v>14</v>
      </c>
      <c r="S46" s="668">
        <f t="shared" si="12"/>
        <v>100</v>
      </c>
      <c r="T46" s="667" t="s">
        <v>14</v>
      </c>
      <c r="U46" s="668">
        <f t="shared" si="13"/>
        <v>100</v>
      </c>
      <c r="V46" s="667" t="s">
        <v>14</v>
      </c>
      <c r="W46" s="668">
        <f t="shared" si="14"/>
        <v>100</v>
      </c>
      <c r="X46" s="1265"/>
      <c r="Y46" s="3305"/>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5"/>
      <c r="M47" s="2488"/>
      <c r="N47" s="2488"/>
      <c r="O47" s="2488"/>
      <c r="P47" s="3297" t="str">
        <f>A47</f>
        <v>成交单价（元/平方米）</v>
      </c>
      <c r="Q47" s="3297"/>
      <c r="R47" s="3298">
        <f>E47</f>
        <v>0</v>
      </c>
      <c r="S47" s="3298"/>
      <c r="T47" s="3298">
        <f>G47</f>
        <v>0</v>
      </c>
      <c r="U47" s="3298"/>
      <c r="V47" s="3298">
        <f>I47</f>
        <v>0</v>
      </c>
      <c r="W47" s="3298"/>
      <c r="X47" s="385"/>
      <c r="Y47" s="673"/>
      <c r="Z47" s="385"/>
      <c r="AA47" s="385"/>
      <c r="AB47" s="385"/>
      <c r="AC47" s="385"/>
    </row>
    <row r="48" spans="1:29" ht="15" thickBot="1">
      <c r="A48" s="423" t="s">
        <v>1793</v>
      </c>
      <c r="B48" s="424"/>
      <c r="C48" s="1082" t="e">
        <f>R49</f>
        <v>#DIV/0!</v>
      </c>
      <c r="D48" s="2141" t="s">
        <v>2137</v>
      </c>
      <c r="E48" s="1083" t="e">
        <f>R48</f>
        <v>#DIV/0!</v>
      </c>
      <c r="F48" s="2142"/>
      <c r="G48" s="1082" t="e">
        <f>T48</f>
        <v>#DIV/0!</v>
      </c>
      <c r="H48" s="2142"/>
      <c r="I48" s="1083" t="e">
        <f>V48</f>
        <v>#DIV/0!</v>
      </c>
      <c r="J48" s="2142"/>
      <c r="K48" s="2144">
        <f>F48+H48+J48</f>
        <v>0</v>
      </c>
      <c r="L48" s="2495"/>
      <c r="M48" s="2488"/>
      <c r="N48" s="2488"/>
      <c r="O48" s="2488"/>
      <c r="P48" s="3297" t="str">
        <f>A48</f>
        <v>比较价值（元/平方米）</v>
      </c>
      <c r="Q48" s="3297"/>
      <c r="R48" s="3298" t="e">
        <f>IF(F1="售价",ROUND(PRODUCT(R47,AA7:AA46),0),ROUND(PRODUCT(R47,AA7:AA46),1))</f>
        <v>#DIV/0!</v>
      </c>
      <c r="S48" s="3298"/>
      <c r="T48" s="3298" t="e">
        <f>IF(F1="售价",ROUND(PRODUCT(T47,AB7:AB46),0),ROUND(PRODUCT(T47,AB7:AB46),1))</f>
        <v>#DIV/0!</v>
      </c>
      <c r="U48" s="3298"/>
      <c r="V48" s="3298" t="e">
        <f>IF(F1="售价",ROUND(PRODUCT(V47,AC7:AC46),0),ROUND(PRODUCT(V47,AC7:AC46),1))</f>
        <v>#DIV/0!</v>
      </c>
      <c r="W48" s="3298"/>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5"/>
      <c r="M49" s="2488"/>
      <c r="N49" s="2488"/>
      <c r="O49" s="2488"/>
      <c r="P49" s="3294" t="str">
        <f>A49</f>
        <v>估价对象XX用房的比较价值（楼面单价，元/平方米）</v>
      </c>
      <c r="Q49" s="3295"/>
      <c r="R49" s="3296" t="e">
        <f>IF(F1="售价",ROUND(IF(D48="简单平均",AVERAGE(R48:V48),R48*F48+T48*H48+V48*J48),0),ROUND(IF(D48="简单平均",AVERAGE(R48:V48),R48*F48+T48*H48+V48*J48),1))</f>
        <v>#DIV/0!</v>
      </c>
      <c r="S49" s="3296"/>
      <c r="T49" s="3296"/>
      <c r="U49" s="3296"/>
      <c r="V49" s="3296"/>
      <c r="W49" s="329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2.2"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4.4">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4"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9.4"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4"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4"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4"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4"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4"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4"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4"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ht="14.4">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4"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4"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4"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4"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4"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4"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4"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4"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ht="14.4">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4"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4"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4"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4"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4"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4"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4"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4"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4.4">
      <c r="A4" s="345" t="s">
        <v>1769</v>
      </c>
      <c r="B4" s="346"/>
      <c r="C4" s="3313" t="s">
        <v>1770</v>
      </c>
      <c r="D4" s="3314"/>
      <c r="E4" s="3315" t="s">
        <v>1771</v>
      </c>
      <c r="F4" s="3316"/>
      <c r="G4" s="3313" t="s">
        <v>1772</v>
      </c>
      <c r="H4" s="3314"/>
      <c r="I4" s="3313" t="s">
        <v>1773</v>
      </c>
      <c r="J4" s="3314"/>
      <c r="K4" s="537" t="s">
        <v>1774</v>
      </c>
      <c r="L4" s="2487"/>
      <c r="M4" s="2488"/>
      <c r="N4" s="2488"/>
      <c r="O4" s="2488"/>
      <c r="P4" s="3346" t="s">
        <v>1775</v>
      </c>
      <c r="Q4" s="3347"/>
      <c r="R4" s="3350" t="s">
        <v>1771</v>
      </c>
      <c r="S4" s="3351"/>
      <c r="T4" s="3350" t="s">
        <v>1772</v>
      </c>
      <c r="U4" s="3351"/>
      <c r="V4" s="3352" t="s">
        <v>1773</v>
      </c>
      <c r="W4" s="3352"/>
      <c r="X4" s="1809"/>
      <c r="Y4" s="3350" t="s">
        <v>1775</v>
      </c>
      <c r="Z4" s="3351"/>
      <c r="AA4" s="3354" t="s">
        <v>1771</v>
      </c>
      <c r="AB4" s="3354" t="s">
        <v>1772</v>
      </c>
      <c r="AC4" s="3343" t="s">
        <v>1773</v>
      </c>
    </row>
    <row r="5" spans="1:29">
      <c r="A5" s="348"/>
      <c r="B5" s="349"/>
      <c r="C5" s="3331" t="s">
        <v>1673</v>
      </c>
      <c r="D5" s="3332"/>
      <c r="E5" s="3338" t="s">
        <v>1674</v>
      </c>
      <c r="F5" s="3339"/>
      <c r="G5" s="3331" t="s">
        <v>1675</v>
      </c>
      <c r="H5" s="3332"/>
      <c r="I5" s="3331" t="s">
        <v>1676</v>
      </c>
      <c r="J5" s="3332"/>
      <c r="K5" s="537"/>
      <c r="L5" s="2487"/>
      <c r="M5" s="2488"/>
      <c r="N5" s="2488"/>
      <c r="O5" s="2488"/>
      <c r="P5" s="3348"/>
      <c r="Q5" s="3320"/>
      <c r="R5" s="3325"/>
      <c r="S5" s="3326"/>
      <c r="T5" s="3325"/>
      <c r="U5" s="3326"/>
      <c r="V5" s="3298"/>
      <c r="W5" s="3298"/>
      <c r="X5" s="1265"/>
      <c r="Y5" s="3325"/>
      <c r="Z5" s="3326"/>
      <c r="AA5" s="3311"/>
      <c r="AB5" s="3311"/>
      <c r="AC5" s="3344"/>
    </row>
    <row r="6" spans="1:29" ht="15" thickBot="1">
      <c r="A6" s="350"/>
      <c r="B6" s="351"/>
      <c r="C6" s="3329" t="s">
        <v>1677</v>
      </c>
      <c r="D6" s="3330"/>
      <c r="E6" s="3336" t="s">
        <v>1677</v>
      </c>
      <c r="F6" s="3337"/>
      <c r="G6" s="3329" t="s">
        <v>1677</v>
      </c>
      <c r="H6" s="3330"/>
      <c r="I6" s="3329" t="s">
        <v>1677</v>
      </c>
      <c r="J6" s="3330"/>
      <c r="K6" s="537" t="s">
        <v>1678</v>
      </c>
      <c r="L6" s="2487"/>
      <c r="M6" s="2488"/>
      <c r="N6" s="2488"/>
      <c r="O6" s="2488"/>
      <c r="P6" s="3349"/>
      <c r="Q6" s="3322"/>
      <c r="R6" s="3325"/>
      <c r="S6" s="3326"/>
      <c r="T6" s="3327"/>
      <c r="U6" s="3328"/>
      <c r="V6" s="3298"/>
      <c r="W6" s="3298"/>
      <c r="X6" s="1265"/>
      <c r="Y6" s="3327"/>
      <c r="Z6" s="3328"/>
      <c r="AA6" s="3312"/>
      <c r="AB6" s="3312"/>
      <c r="AC6" s="3345"/>
    </row>
    <row r="7" spans="1:29" s="102" customFormat="1" ht="15" thickBot="1">
      <c r="A7" s="352" t="s">
        <v>1679</v>
      </c>
      <c r="B7" s="353"/>
      <c r="C7" s="354">
        <f>'数据-取费表'!B2</f>
        <v>45845</v>
      </c>
      <c r="D7" s="355">
        <v>100</v>
      </c>
      <c r="E7" s="356"/>
      <c r="F7" s="357">
        <f>SUMIF(59:59,YEAR(E7)&amp;"-"&amp;MONTH(E7),60:60)</f>
        <v>0</v>
      </c>
      <c r="G7" s="356"/>
      <c r="H7" s="355">
        <f>SUMIF(59:59,YEAR(G7)&amp;"-"&amp;MONTH(G7),60:60)</f>
        <v>0</v>
      </c>
      <c r="I7" s="356"/>
      <c r="J7" s="355">
        <f>SUMIF(59:59,YEAR(I7)&amp;"-"&amp;MONTH(I7),60:60)</f>
        <v>0</v>
      </c>
      <c r="K7" s="38"/>
      <c r="L7" s="2489"/>
      <c r="M7" s="2440"/>
      <c r="N7" s="2440"/>
      <c r="O7" s="2440"/>
      <c r="P7" s="3353" t="s">
        <v>1680</v>
      </c>
      <c r="Q7" s="3335"/>
      <c r="R7" s="664" t="s">
        <v>14</v>
      </c>
      <c r="S7" s="665">
        <f t="shared" ref="S7:S15" si="0">F7</f>
        <v>0</v>
      </c>
      <c r="T7" s="664" t="s">
        <v>14</v>
      </c>
      <c r="U7" s="665">
        <f t="shared" ref="U7:U15" si="1">H7</f>
        <v>0</v>
      </c>
      <c r="V7" s="664" t="s">
        <v>14</v>
      </c>
      <c r="W7" s="665">
        <f t="shared" ref="W7:W15" si="2">J7</f>
        <v>0</v>
      </c>
      <c r="X7" s="666"/>
      <c r="Y7" s="3333" t="s">
        <v>1680</v>
      </c>
      <c r="Z7" s="3334"/>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353" t="s">
        <v>1683</v>
      </c>
      <c r="Q8" s="3334"/>
      <c r="R8" s="664" t="s">
        <v>14</v>
      </c>
      <c r="S8" s="665">
        <f t="shared" si="0"/>
        <v>100</v>
      </c>
      <c r="T8" s="664" t="s">
        <v>14</v>
      </c>
      <c r="U8" s="665">
        <f t="shared" si="1"/>
        <v>100</v>
      </c>
      <c r="V8" s="664" t="s">
        <v>14</v>
      </c>
      <c r="W8" s="665">
        <f t="shared" si="2"/>
        <v>100</v>
      </c>
      <c r="X8" s="666"/>
      <c r="Y8" s="3333" t="s">
        <v>1683</v>
      </c>
      <c r="Z8" s="3334"/>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08" t="s">
        <v>1686</v>
      </c>
      <c r="Q9" s="530" t="str">
        <f t="shared" ref="Q9:Q15" si="6">B9</f>
        <v>用途</v>
      </c>
      <c r="R9" s="664" t="s">
        <v>14</v>
      </c>
      <c r="S9" s="665">
        <f t="shared" si="0"/>
        <v>100</v>
      </c>
      <c r="T9" s="664" t="s">
        <v>14</v>
      </c>
      <c r="U9" s="665">
        <f t="shared" si="1"/>
        <v>100</v>
      </c>
      <c r="V9" s="664" t="s">
        <v>14</v>
      </c>
      <c r="W9" s="665">
        <f t="shared" si="2"/>
        <v>100</v>
      </c>
      <c r="X9" s="666"/>
      <c r="Y9" s="3309" t="s">
        <v>1687</v>
      </c>
      <c r="Z9" s="50" t="str">
        <f t="shared" ref="Z9:Z15" si="7">Q9</f>
        <v>用途</v>
      </c>
      <c r="AA9" s="50">
        <f t="shared" si="3"/>
        <v>1</v>
      </c>
      <c r="AB9" s="50">
        <f t="shared" si="4"/>
        <v>1</v>
      </c>
      <c r="AC9" s="802">
        <f t="shared" si="5"/>
        <v>1</v>
      </c>
    </row>
    <row r="10" spans="1:29" s="366" customFormat="1" ht="28.8">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08"/>
      <c r="Q10" s="530" t="str">
        <f t="shared" si="6"/>
        <v>土地使用年限（年）</v>
      </c>
      <c r="R10" s="664" t="s">
        <v>14</v>
      </c>
      <c r="S10" s="665">
        <f t="shared" si="0"/>
        <v>100</v>
      </c>
      <c r="T10" s="664" t="s">
        <v>14</v>
      </c>
      <c r="U10" s="665">
        <f t="shared" si="1"/>
        <v>100</v>
      </c>
      <c r="V10" s="664" t="s">
        <v>14</v>
      </c>
      <c r="W10" s="665">
        <f t="shared" si="2"/>
        <v>100</v>
      </c>
      <c r="X10" s="666"/>
      <c r="Y10" s="330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08"/>
      <c r="Q11" s="530" t="str">
        <f t="shared" si="6"/>
        <v>容积率</v>
      </c>
      <c r="R11" s="664" t="s">
        <v>14</v>
      </c>
      <c r="S11" s="665">
        <f t="shared" si="0"/>
        <v>100</v>
      </c>
      <c r="T11" s="664" t="s">
        <v>14</v>
      </c>
      <c r="U11" s="665">
        <f t="shared" si="1"/>
        <v>100</v>
      </c>
      <c r="V11" s="664" t="s">
        <v>14</v>
      </c>
      <c r="W11" s="665">
        <f t="shared" si="2"/>
        <v>100</v>
      </c>
      <c r="X11" s="666"/>
      <c r="Y11" s="330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08"/>
      <c r="Q12" s="530">
        <f t="shared" si="6"/>
        <v>111</v>
      </c>
      <c r="R12" s="664" t="s">
        <v>14</v>
      </c>
      <c r="S12" s="665">
        <f t="shared" si="0"/>
        <v>100</v>
      </c>
      <c r="T12" s="664" t="s">
        <v>14</v>
      </c>
      <c r="U12" s="665">
        <f t="shared" si="1"/>
        <v>100</v>
      </c>
      <c r="V12" s="664" t="s">
        <v>14</v>
      </c>
      <c r="W12" s="665">
        <f t="shared" si="2"/>
        <v>100</v>
      </c>
      <c r="X12" s="666"/>
      <c r="Y12" s="330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08"/>
      <c r="Q13" s="530">
        <f t="shared" si="6"/>
        <v>111</v>
      </c>
      <c r="R13" s="664" t="s">
        <v>14</v>
      </c>
      <c r="S13" s="665">
        <f t="shared" si="0"/>
        <v>100</v>
      </c>
      <c r="T13" s="664" t="s">
        <v>14</v>
      </c>
      <c r="U13" s="665">
        <f t="shared" si="1"/>
        <v>100</v>
      </c>
      <c r="V13" s="664" t="s">
        <v>14</v>
      </c>
      <c r="W13" s="665">
        <f t="shared" si="2"/>
        <v>100</v>
      </c>
      <c r="X13" s="666"/>
      <c r="Y13" s="3309"/>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08"/>
      <c r="Q14" s="530">
        <f t="shared" si="6"/>
        <v>111</v>
      </c>
      <c r="R14" s="664" t="s">
        <v>14</v>
      </c>
      <c r="S14" s="665">
        <f t="shared" si="0"/>
        <v>100</v>
      </c>
      <c r="T14" s="664" t="s">
        <v>14</v>
      </c>
      <c r="U14" s="665">
        <f t="shared" si="1"/>
        <v>100</v>
      </c>
      <c r="V14" s="664" t="s">
        <v>14</v>
      </c>
      <c r="W14" s="665">
        <f t="shared" si="2"/>
        <v>100</v>
      </c>
      <c r="X14" s="666"/>
      <c r="Y14" s="3309"/>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06" t="s">
        <v>1691</v>
      </c>
      <c r="Q15" s="1263" t="str">
        <f t="shared" si="6"/>
        <v>办公集聚程度</v>
      </c>
      <c r="R15" s="667" t="s">
        <v>14</v>
      </c>
      <c r="S15" s="668">
        <f t="shared" si="0"/>
        <v>100</v>
      </c>
      <c r="T15" s="667" t="s">
        <v>14</v>
      </c>
      <c r="U15" s="668">
        <f t="shared" si="1"/>
        <v>100</v>
      </c>
      <c r="V15" s="667" t="s">
        <v>14</v>
      </c>
      <c r="W15" s="668">
        <f t="shared" si="2"/>
        <v>100</v>
      </c>
      <c r="X15" s="1265"/>
      <c r="Y15" s="3299"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07"/>
      <c r="Q16" s="1263"/>
      <c r="R16" s="667"/>
      <c r="S16" s="668"/>
      <c r="T16" s="667"/>
      <c r="U16" s="668"/>
      <c r="V16" s="667"/>
      <c r="W16" s="668"/>
      <c r="X16" s="1265"/>
      <c r="Y16" s="3300"/>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07"/>
      <c r="Q17" s="1263" t="str">
        <f>B17</f>
        <v>交通便捷度</v>
      </c>
      <c r="R17" s="667" t="s">
        <v>14</v>
      </c>
      <c r="S17" s="668">
        <f>F17</f>
        <v>100</v>
      </c>
      <c r="T17" s="667" t="s">
        <v>14</v>
      </c>
      <c r="U17" s="668">
        <f>H17</f>
        <v>100</v>
      </c>
      <c r="V17" s="667" t="s">
        <v>14</v>
      </c>
      <c r="W17" s="668">
        <f>J17</f>
        <v>100</v>
      </c>
      <c r="X17" s="1265"/>
      <c r="Y17" s="3300"/>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07"/>
      <c r="Q18" s="1263"/>
      <c r="R18" s="667"/>
      <c r="S18" s="668"/>
      <c r="T18" s="667"/>
      <c r="U18" s="668"/>
      <c r="V18" s="667"/>
      <c r="W18" s="668"/>
      <c r="X18" s="1265"/>
      <c r="Y18" s="3300"/>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07"/>
      <c r="Q19" s="1263" t="str">
        <f>B19</f>
        <v>公共配套设施</v>
      </c>
      <c r="R19" s="667" t="s">
        <v>14</v>
      </c>
      <c r="S19" s="668">
        <f>F19</f>
        <v>100</v>
      </c>
      <c r="T19" s="667" t="s">
        <v>14</v>
      </c>
      <c r="U19" s="668">
        <f>H19</f>
        <v>100</v>
      </c>
      <c r="V19" s="667" t="s">
        <v>14</v>
      </c>
      <c r="W19" s="668">
        <f>J19</f>
        <v>100</v>
      </c>
      <c r="X19" s="1265"/>
      <c r="Y19" s="330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07"/>
      <c r="Q20" s="1263"/>
      <c r="R20" s="667"/>
      <c r="S20" s="668"/>
      <c r="T20" s="667"/>
      <c r="U20" s="668"/>
      <c r="V20" s="667"/>
      <c r="W20" s="668"/>
      <c r="X20" s="1265"/>
      <c r="Y20" s="3300"/>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07"/>
      <c r="Q21" s="1263" t="str">
        <f>B21</f>
        <v>基础设施水平</v>
      </c>
      <c r="R21" s="667" t="s">
        <v>14</v>
      </c>
      <c r="S21" s="668">
        <f>F21</f>
        <v>100</v>
      </c>
      <c r="T21" s="667" t="s">
        <v>14</v>
      </c>
      <c r="U21" s="668">
        <f>H21</f>
        <v>100</v>
      </c>
      <c r="V21" s="667" t="s">
        <v>14</v>
      </c>
      <c r="W21" s="668">
        <f>J21</f>
        <v>100</v>
      </c>
      <c r="X21" s="1265"/>
      <c r="Y21" s="330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07"/>
      <c r="Q22" s="1263"/>
      <c r="R22" s="667"/>
      <c r="S22" s="668"/>
      <c r="T22" s="667"/>
      <c r="U22" s="668"/>
      <c r="V22" s="667"/>
      <c r="W22" s="668"/>
      <c r="X22" s="1265"/>
      <c r="Y22" s="3300"/>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07"/>
      <c r="Q23" s="1263" t="str">
        <f>B23</f>
        <v>环境质量</v>
      </c>
      <c r="R23" s="667" t="s">
        <v>14</v>
      </c>
      <c r="S23" s="668">
        <f>F23</f>
        <v>100</v>
      </c>
      <c r="T23" s="667" t="s">
        <v>14</v>
      </c>
      <c r="U23" s="668">
        <f>H23</f>
        <v>100</v>
      </c>
      <c r="V23" s="667" t="s">
        <v>14</v>
      </c>
      <c r="W23" s="668">
        <f>J23</f>
        <v>100</v>
      </c>
      <c r="X23" s="1265"/>
      <c r="Y23" s="330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07"/>
      <c r="Q24" s="1263"/>
      <c r="R24" s="667"/>
      <c r="S24" s="668"/>
      <c r="T24" s="667"/>
      <c r="U24" s="668"/>
      <c r="V24" s="667"/>
      <c r="W24" s="668"/>
      <c r="X24" s="1265"/>
      <c r="Y24" s="3300"/>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07"/>
      <c r="Q25" s="1263" t="str">
        <f>B25</f>
        <v>毗邻道路的类型与等级</v>
      </c>
      <c r="R25" s="667" t="s">
        <v>14</v>
      </c>
      <c r="S25" s="668">
        <f>F25</f>
        <v>100</v>
      </c>
      <c r="T25" s="667" t="s">
        <v>14</v>
      </c>
      <c r="U25" s="668">
        <f>H25</f>
        <v>100</v>
      </c>
      <c r="V25" s="667" t="s">
        <v>14</v>
      </c>
      <c r="W25" s="668">
        <f>J25</f>
        <v>100</v>
      </c>
      <c r="X25" s="1265"/>
      <c r="Y25" s="330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07"/>
      <c r="Q26" s="1263"/>
      <c r="R26" s="667"/>
      <c r="S26" s="668"/>
      <c r="T26" s="667"/>
      <c r="U26" s="668"/>
      <c r="V26" s="667"/>
      <c r="W26" s="668"/>
      <c r="X26" s="1265"/>
      <c r="Y26" s="3300"/>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07"/>
      <c r="Q27" s="1263" t="str">
        <f t="shared" ref="Q27:Q47" si="11">B27</f>
        <v>楼层</v>
      </c>
      <c r="R27" s="667" t="s">
        <v>14</v>
      </c>
      <c r="S27" s="668">
        <f>F27</f>
        <v>100</v>
      </c>
      <c r="T27" s="667" t="s">
        <v>14</v>
      </c>
      <c r="U27" s="668">
        <f>H27</f>
        <v>100</v>
      </c>
      <c r="V27" s="667" t="s">
        <v>14</v>
      </c>
      <c r="W27" s="668">
        <f>J27</f>
        <v>100</v>
      </c>
      <c r="X27" s="1265"/>
      <c r="Y27" s="3300"/>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07"/>
      <c r="Q28" s="530" t="str">
        <f t="shared" si="11"/>
        <v>朝向</v>
      </c>
      <c r="R28" s="664" t="s">
        <v>14</v>
      </c>
      <c r="S28" s="665">
        <f>F28</f>
        <v>100</v>
      </c>
      <c r="T28" s="664" t="s">
        <v>14</v>
      </c>
      <c r="U28" s="665">
        <f>H28</f>
        <v>100</v>
      </c>
      <c r="V28" s="664" t="s">
        <v>14</v>
      </c>
      <c r="W28" s="665">
        <f>J28</f>
        <v>100</v>
      </c>
      <c r="X28" s="666"/>
      <c r="Y28" s="330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07"/>
      <c r="Q29" s="1263">
        <f t="shared" si="11"/>
        <v>111</v>
      </c>
      <c r="R29" s="667" t="s">
        <v>14</v>
      </c>
      <c r="S29" s="668">
        <f t="shared" ref="S29:S47" si="12">F29</f>
        <v>100</v>
      </c>
      <c r="T29" s="667" t="s">
        <v>14</v>
      </c>
      <c r="U29" s="668">
        <f t="shared" ref="U29:U47" si="13">H29</f>
        <v>100</v>
      </c>
      <c r="V29" s="667" t="s">
        <v>14</v>
      </c>
      <c r="W29" s="668">
        <f t="shared" ref="W29:W47" si="14">J29</f>
        <v>100</v>
      </c>
      <c r="X29" s="1265"/>
      <c r="Y29" s="330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07"/>
      <c r="Q30" s="1263">
        <f t="shared" si="11"/>
        <v>111</v>
      </c>
      <c r="R30" s="667" t="s">
        <v>14</v>
      </c>
      <c r="S30" s="668">
        <f t="shared" si="12"/>
        <v>100</v>
      </c>
      <c r="T30" s="667" t="s">
        <v>14</v>
      </c>
      <c r="U30" s="668">
        <f t="shared" si="13"/>
        <v>100</v>
      </c>
      <c r="V30" s="667" t="s">
        <v>14</v>
      </c>
      <c r="W30" s="668">
        <f t="shared" si="14"/>
        <v>100</v>
      </c>
      <c r="X30" s="1265"/>
      <c r="Y30" s="330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07"/>
      <c r="Q31" s="1263">
        <f t="shared" si="11"/>
        <v>111</v>
      </c>
      <c r="R31" s="667" t="s">
        <v>14</v>
      </c>
      <c r="S31" s="668">
        <f t="shared" si="12"/>
        <v>100</v>
      </c>
      <c r="T31" s="667" t="s">
        <v>14</v>
      </c>
      <c r="U31" s="668">
        <f t="shared" si="13"/>
        <v>100</v>
      </c>
      <c r="V31" s="667" t="s">
        <v>14</v>
      </c>
      <c r="W31" s="668">
        <f t="shared" si="14"/>
        <v>100</v>
      </c>
      <c r="X31" s="1265"/>
      <c r="Y31" s="3300"/>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07"/>
      <c r="Q32" s="1263">
        <f t="shared" si="11"/>
        <v>111</v>
      </c>
      <c r="R32" s="667" t="s">
        <v>14</v>
      </c>
      <c r="S32" s="668">
        <f t="shared" si="12"/>
        <v>100</v>
      </c>
      <c r="T32" s="667" t="s">
        <v>14</v>
      </c>
      <c r="U32" s="668">
        <f t="shared" si="13"/>
        <v>100</v>
      </c>
      <c r="V32" s="667" t="s">
        <v>14</v>
      </c>
      <c r="W32" s="668">
        <f t="shared" si="14"/>
        <v>100</v>
      </c>
      <c r="X32" s="1265"/>
      <c r="Y32" s="3300"/>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01" t="s">
        <v>1696</v>
      </c>
      <c r="Q33" s="1263" t="str">
        <f t="shared" si="11"/>
        <v>建筑类型</v>
      </c>
      <c r="R33" s="667" t="s">
        <v>14</v>
      </c>
      <c r="S33" s="668">
        <f t="shared" si="12"/>
        <v>100</v>
      </c>
      <c r="T33" s="667" t="s">
        <v>14</v>
      </c>
      <c r="U33" s="668">
        <f t="shared" si="13"/>
        <v>100</v>
      </c>
      <c r="V33" s="667" t="s">
        <v>14</v>
      </c>
      <c r="W33" s="668">
        <f t="shared" si="14"/>
        <v>100</v>
      </c>
      <c r="X33" s="1265"/>
      <c r="Y33" s="3304"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02"/>
      <c r="Q34" s="531" t="str">
        <f t="shared" si="11"/>
        <v>项目建筑规模</v>
      </c>
      <c r="R34" s="669" t="s">
        <v>14</v>
      </c>
      <c r="S34" s="670" t="e">
        <f t="shared" si="12"/>
        <v>#N/A</v>
      </c>
      <c r="T34" s="669" t="s">
        <v>14</v>
      </c>
      <c r="U34" s="670" t="e">
        <f t="shared" si="13"/>
        <v>#N/A</v>
      </c>
      <c r="V34" s="669" t="s">
        <v>14</v>
      </c>
      <c r="W34" s="670" t="e">
        <f t="shared" si="14"/>
        <v>#N/A</v>
      </c>
      <c r="X34" s="671"/>
      <c r="Y34" s="3304"/>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02"/>
      <c r="Q35" s="1263" t="str">
        <f t="shared" si="11"/>
        <v>建筑结构</v>
      </c>
      <c r="R35" s="667" t="s">
        <v>14</v>
      </c>
      <c r="S35" s="668">
        <f t="shared" si="12"/>
        <v>100</v>
      </c>
      <c r="T35" s="667" t="s">
        <v>14</v>
      </c>
      <c r="U35" s="668">
        <f t="shared" si="13"/>
        <v>100</v>
      </c>
      <c r="V35" s="667" t="s">
        <v>14</v>
      </c>
      <c r="W35" s="668">
        <f t="shared" si="14"/>
        <v>100</v>
      </c>
      <c r="X35" s="1265"/>
      <c r="Y35" s="330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02"/>
      <c r="Q36" s="1263" t="str">
        <f t="shared" si="11"/>
        <v>公共部分装修</v>
      </c>
      <c r="R36" s="667" t="s">
        <v>14</v>
      </c>
      <c r="S36" s="668">
        <f t="shared" si="12"/>
        <v>100</v>
      </c>
      <c r="T36" s="667" t="s">
        <v>14</v>
      </c>
      <c r="U36" s="668">
        <f t="shared" si="13"/>
        <v>100</v>
      </c>
      <c r="V36" s="667" t="s">
        <v>14</v>
      </c>
      <c r="W36" s="668">
        <f t="shared" si="14"/>
        <v>100</v>
      </c>
      <c r="X36" s="1265"/>
      <c r="Y36" s="3304"/>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02"/>
      <c r="Q37" s="1263" t="str">
        <f t="shared" si="11"/>
        <v>成新度</v>
      </c>
      <c r="R37" s="667" t="s">
        <v>14</v>
      </c>
      <c r="S37" s="668" t="e">
        <f t="shared" si="12"/>
        <v>#N/A</v>
      </c>
      <c r="T37" s="667" t="s">
        <v>14</v>
      </c>
      <c r="U37" s="668" t="e">
        <f t="shared" si="13"/>
        <v>#N/A</v>
      </c>
      <c r="V37" s="667" t="s">
        <v>14</v>
      </c>
      <c r="W37" s="668" t="e">
        <f t="shared" si="14"/>
        <v>#N/A</v>
      </c>
      <c r="X37" s="1265"/>
      <c r="Y37" s="3304"/>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02"/>
      <c r="Q38" s="530" t="str">
        <f t="shared" si="11"/>
        <v>写字楼等级</v>
      </c>
      <c r="R38" s="664" t="s">
        <v>14</v>
      </c>
      <c r="S38" s="665">
        <f t="shared" si="12"/>
        <v>100</v>
      </c>
      <c r="T38" s="664" t="s">
        <v>14</v>
      </c>
      <c r="U38" s="665">
        <f t="shared" si="13"/>
        <v>100</v>
      </c>
      <c r="V38" s="664" t="s">
        <v>14</v>
      </c>
      <c r="W38" s="665">
        <f t="shared" si="14"/>
        <v>100</v>
      </c>
      <c r="X38" s="666"/>
      <c r="Y38" s="330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02" t="s">
        <v>1696</v>
      </c>
      <c r="Q39" s="1263" t="str">
        <f t="shared" si="11"/>
        <v>物业管理</v>
      </c>
      <c r="R39" s="667" t="s">
        <v>14</v>
      </c>
      <c r="S39" s="668">
        <f t="shared" si="12"/>
        <v>100</v>
      </c>
      <c r="T39" s="667" t="s">
        <v>14</v>
      </c>
      <c r="U39" s="668">
        <f t="shared" si="13"/>
        <v>100</v>
      </c>
      <c r="V39" s="667" t="s">
        <v>14</v>
      </c>
      <c r="W39" s="668">
        <f t="shared" si="14"/>
        <v>100</v>
      </c>
      <c r="X39" s="1265"/>
      <c r="Y39" s="3304"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02"/>
      <c r="Q40" s="1263" t="str">
        <f t="shared" si="11"/>
        <v>市政基础设施</v>
      </c>
      <c r="R40" s="667" t="s">
        <v>14</v>
      </c>
      <c r="S40" s="668">
        <f t="shared" si="12"/>
        <v>100</v>
      </c>
      <c r="T40" s="667" t="s">
        <v>14</v>
      </c>
      <c r="U40" s="668">
        <f t="shared" si="13"/>
        <v>100</v>
      </c>
      <c r="V40" s="667" t="s">
        <v>14</v>
      </c>
      <c r="W40" s="668">
        <f t="shared" si="14"/>
        <v>100</v>
      </c>
      <c r="X40" s="1265"/>
      <c r="Y40" s="3304"/>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02"/>
      <c r="Q41" s="1263" t="str">
        <f t="shared" si="11"/>
        <v>层高</v>
      </c>
      <c r="R41" s="667" t="s">
        <v>14</v>
      </c>
      <c r="S41" s="668">
        <f t="shared" si="12"/>
        <v>100</v>
      </c>
      <c r="T41" s="667" t="s">
        <v>14</v>
      </c>
      <c r="U41" s="668">
        <f t="shared" si="13"/>
        <v>100</v>
      </c>
      <c r="V41" s="667" t="s">
        <v>14</v>
      </c>
      <c r="W41" s="668">
        <f t="shared" si="14"/>
        <v>100</v>
      </c>
      <c r="X41" s="1265"/>
      <c r="Y41" s="330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02"/>
      <c r="Q42" s="531" t="str">
        <f t="shared" si="11"/>
        <v>单套建筑面积</v>
      </c>
      <c r="R42" s="669" t="s">
        <v>14</v>
      </c>
      <c r="S42" s="670">
        <f t="shared" si="12"/>
        <v>100</v>
      </c>
      <c r="T42" s="669" t="s">
        <v>14</v>
      </c>
      <c r="U42" s="670">
        <f t="shared" si="13"/>
        <v>100</v>
      </c>
      <c r="V42" s="669" t="s">
        <v>14</v>
      </c>
      <c r="W42" s="670">
        <f t="shared" si="14"/>
        <v>100</v>
      </c>
      <c r="X42" s="671"/>
      <c r="Y42" s="3304"/>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02"/>
      <c r="Q43" s="1263" t="str">
        <f t="shared" si="11"/>
        <v>内部装修</v>
      </c>
      <c r="R43" s="667" t="s">
        <v>14</v>
      </c>
      <c r="S43" s="668">
        <f t="shared" si="12"/>
        <v>100</v>
      </c>
      <c r="T43" s="667" t="s">
        <v>14</v>
      </c>
      <c r="U43" s="668">
        <f t="shared" si="13"/>
        <v>100</v>
      </c>
      <c r="V43" s="667" t="s">
        <v>14</v>
      </c>
      <c r="W43" s="668">
        <f t="shared" si="14"/>
        <v>100</v>
      </c>
      <c r="X43" s="1265"/>
      <c r="Y43" s="3304"/>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02"/>
      <c r="Q44" s="1263" t="str">
        <f t="shared" si="11"/>
        <v>内部装修维护情况</v>
      </c>
      <c r="R44" s="667" t="s">
        <v>14</v>
      </c>
      <c r="S44" s="668">
        <f t="shared" si="12"/>
        <v>100</v>
      </c>
      <c r="T44" s="667" t="s">
        <v>14</v>
      </c>
      <c r="U44" s="668">
        <f t="shared" si="13"/>
        <v>100</v>
      </c>
      <c r="V44" s="667" t="s">
        <v>14</v>
      </c>
      <c r="W44" s="668">
        <f t="shared" si="14"/>
        <v>100</v>
      </c>
      <c r="X44" s="1265"/>
      <c r="Y44" s="330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02"/>
      <c r="Q45" s="530">
        <f t="shared" si="11"/>
        <v>111</v>
      </c>
      <c r="R45" s="664" t="s">
        <v>14</v>
      </c>
      <c r="S45" s="665">
        <f t="shared" si="12"/>
        <v>100</v>
      </c>
      <c r="T45" s="664" t="s">
        <v>14</v>
      </c>
      <c r="U45" s="665">
        <f t="shared" si="13"/>
        <v>100</v>
      </c>
      <c r="V45" s="664" t="s">
        <v>14</v>
      </c>
      <c r="W45" s="665">
        <f t="shared" si="14"/>
        <v>100</v>
      </c>
      <c r="X45" s="666"/>
      <c r="Y45" s="330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02"/>
      <c r="Q46" s="1263">
        <f t="shared" si="11"/>
        <v>111</v>
      </c>
      <c r="R46" s="667" t="s">
        <v>14</v>
      </c>
      <c r="S46" s="668">
        <f t="shared" si="12"/>
        <v>100</v>
      </c>
      <c r="T46" s="667" t="s">
        <v>14</v>
      </c>
      <c r="U46" s="668">
        <f t="shared" si="13"/>
        <v>100</v>
      </c>
      <c r="V46" s="667" t="s">
        <v>14</v>
      </c>
      <c r="W46" s="668">
        <f t="shared" si="14"/>
        <v>100</v>
      </c>
      <c r="X46" s="1265"/>
      <c r="Y46" s="3304"/>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03"/>
      <c r="Q47" s="1263">
        <f t="shared" si="11"/>
        <v>111</v>
      </c>
      <c r="R47" s="667" t="s">
        <v>14</v>
      </c>
      <c r="S47" s="668">
        <f t="shared" si="12"/>
        <v>100</v>
      </c>
      <c r="T47" s="667" t="s">
        <v>14</v>
      </c>
      <c r="U47" s="668">
        <f t="shared" si="13"/>
        <v>100</v>
      </c>
      <c r="V47" s="667" t="s">
        <v>14</v>
      </c>
      <c r="W47" s="668">
        <f t="shared" si="14"/>
        <v>100</v>
      </c>
      <c r="X47" s="1265"/>
      <c r="Y47" s="3305"/>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5"/>
      <c r="M48" s="2488"/>
      <c r="N48" s="2488"/>
      <c r="O48" s="2488"/>
      <c r="P48" s="3308" t="str">
        <f>A48</f>
        <v>成交单价（元/平方米）</v>
      </c>
      <c r="Q48" s="3297"/>
      <c r="R48" s="3298">
        <f>E48</f>
        <v>0</v>
      </c>
      <c r="S48" s="3298"/>
      <c r="T48" s="3298">
        <f>G48</f>
        <v>0</v>
      </c>
      <c r="U48" s="3298"/>
      <c r="V48" s="3298">
        <f>I48</f>
        <v>0</v>
      </c>
      <c r="W48" s="3298"/>
      <c r="X48" s="385"/>
      <c r="Y48" s="673"/>
      <c r="Z48" s="385"/>
      <c r="AA48" s="385"/>
      <c r="AB48" s="385"/>
      <c r="AC48" s="555"/>
    </row>
    <row r="49" spans="1:29" ht="15" thickBot="1">
      <c r="A49" s="423" t="s">
        <v>1793</v>
      </c>
      <c r="B49" s="424"/>
      <c r="C49" s="1082" t="e">
        <f>R50</f>
        <v>#DIV/0!</v>
      </c>
      <c r="D49" s="2141" t="s">
        <v>2137</v>
      </c>
      <c r="E49" s="1083" t="e">
        <f>R49</f>
        <v>#DIV/0!</v>
      </c>
      <c r="F49" s="2142"/>
      <c r="G49" s="1082" t="e">
        <f>T49</f>
        <v>#DIV/0!</v>
      </c>
      <c r="H49" s="2142"/>
      <c r="I49" s="1083" t="e">
        <f>V49</f>
        <v>#DIV/0!</v>
      </c>
      <c r="J49" s="2142"/>
      <c r="K49" s="2144">
        <f>F49+H49+J49</f>
        <v>0</v>
      </c>
      <c r="L49" s="2495"/>
      <c r="M49" s="2488"/>
      <c r="N49" s="2488"/>
      <c r="O49" s="2488"/>
      <c r="P49" s="3308" t="str">
        <f>A49</f>
        <v>比较价值（元/平方米）</v>
      </c>
      <c r="Q49" s="3297"/>
      <c r="R49" s="3298" t="e">
        <f>IF(F1="售价",ROUND(PRODUCT(R48,AA7:AA47),0),ROUND(PRODUCT(R48,AA7:AA47),1))</f>
        <v>#DIV/0!</v>
      </c>
      <c r="S49" s="3298"/>
      <c r="T49" s="3298" t="e">
        <f>IF(F1="售价",ROUND(PRODUCT(T48,AB7:AB47),0),ROUND(PRODUCT(T48,AB7:AB47),1))</f>
        <v>#DIV/0!</v>
      </c>
      <c r="U49" s="3298"/>
      <c r="V49" s="3298" t="e">
        <f>IF(F1="售价",ROUND(PRODUCT(V48,AC7:AC47),0),ROUND(PRODUCT(V48,AC7:AC47),1))</f>
        <v>#DIV/0!</v>
      </c>
      <c r="W49" s="3298"/>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5"/>
      <c r="M50" s="2488"/>
      <c r="N50" s="2488"/>
      <c r="O50" s="2488"/>
      <c r="P50" s="3340" t="str">
        <f>A50</f>
        <v>估价对象XX用房的比较价值（楼面单价，元/平方米）</v>
      </c>
      <c r="Q50" s="3341"/>
      <c r="R50" s="3342" t="e">
        <f>IF(F1="售价",ROUND(IF(D49="简单平均",AVERAGE(R49:V49),R49*F49+T49*H49+V49*J49),0),ROUND(IF(D49="简单平均",AVERAGE(R49:V49),R49*F49+T49*H49+V49*J49),1))</f>
        <v>#DIV/0!</v>
      </c>
      <c r="S50" s="3342"/>
      <c r="T50" s="3342"/>
      <c r="U50" s="3342"/>
      <c r="V50" s="3342"/>
      <c r="W50" s="3342"/>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2.2"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4.4">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4"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9.4"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4"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4.4"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4"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4"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4"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4"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4"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ht="14.4">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9.4"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4.4"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4"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4"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4"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4"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4"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ht="14.4">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4"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4"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4"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4"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4"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4"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4"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4"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受贵公司委托，我公司对北京市房地产抵押价值进行了预评估。</v>
      </c>
    </row>
    <row r="5" spans="1:1" ht="17.399999999999999">
      <c r="A5" s="1383" t="s">
        <v>899</v>
      </c>
    </row>
    <row r="6" spans="1:1" ht="17.399999999999999">
      <c r="A6" s="1384" t="s">
        <v>900</v>
      </c>
    </row>
    <row r="7" spans="1:1" ht="17.399999999999999">
      <c r="A7" s="13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4.6">
      <c r="A8" s="1385" t="s">
        <v>901</v>
      </c>
    </row>
    <row r="9" spans="1:1" ht="17.399999999999999">
      <c r="A9" s="1384" t="s">
        <v>902</v>
      </c>
    </row>
    <row r="10" spans="1:1" ht="17.399999999999999">
      <c r="A10" s="13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2025年7月7日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13" t="s">
        <v>1770</v>
      </c>
      <c r="D4" s="3314"/>
      <c r="E4" s="3315" t="s">
        <v>1771</v>
      </c>
      <c r="F4" s="3316"/>
      <c r="G4" s="3313" t="s">
        <v>1772</v>
      </c>
      <c r="H4" s="3314"/>
      <c r="I4" s="3313" t="s">
        <v>1773</v>
      </c>
      <c r="J4" s="3314"/>
      <c r="K4" s="537" t="s">
        <v>1774</v>
      </c>
      <c r="L4" s="860"/>
      <c r="M4" s="861"/>
      <c r="N4" s="861"/>
      <c r="O4" s="861"/>
      <c r="P4" s="3317" t="s">
        <v>1775</v>
      </c>
      <c r="Q4" s="3318"/>
      <c r="R4" s="3323" t="s">
        <v>1771</v>
      </c>
      <c r="S4" s="3324"/>
      <c r="T4" s="3323" t="s">
        <v>1772</v>
      </c>
      <c r="U4" s="3324"/>
      <c r="V4" s="3298" t="s">
        <v>1773</v>
      </c>
      <c r="W4" s="3298"/>
      <c r="X4" s="1265"/>
      <c r="Y4" s="3323" t="s">
        <v>1775</v>
      </c>
      <c r="Z4" s="3324"/>
      <c r="AA4" s="3310" t="s">
        <v>1771</v>
      </c>
      <c r="AB4" s="3311" t="s">
        <v>1772</v>
      </c>
      <c r="AC4" s="3310" t="s">
        <v>1773</v>
      </c>
    </row>
    <row r="5" spans="1:29">
      <c r="A5" s="348"/>
      <c r="B5" s="349"/>
      <c r="C5" s="3331" t="s">
        <v>1673</v>
      </c>
      <c r="D5" s="3332"/>
      <c r="E5" s="3338" t="s">
        <v>1674</v>
      </c>
      <c r="F5" s="3339"/>
      <c r="G5" s="3331" t="s">
        <v>1675</v>
      </c>
      <c r="H5" s="3332"/>
      <c r="I5" s="3331" t="s">
        <v>1676</v>
      </c>
      <c r="J5" s="3332"/>
      <c r="K5" s="537"/>
      <c r="L5" s="860"/>
      <c r="M5" s="861"/>
      <c r="N5" s="861"/>
      <c r="O5" s="861"/>
      <c r="P5" s="3319"/>
      <c r="Q5" s="3320"/>
      <c r="R5" s="3325"/>
      <c r="S5" s="3326"/>
      <c r="T5" s="3325"/>
      <c r="U5" s="3326"/>
      <c r="V5" s="3298"/>
      <c r="W5" s="3298"/>
      <c r="X5" s="1265"/>
      <c r="Y5" s="3325"/>
      <c r="Z5" s="3326"/>
      <c r="AA5" s="3311"/>
      <c r="AB5" s="3311"/>
      <c r="AC5" s="3311"/>
    </row>
    <row r="6" spans="1:29" ht="15" thickBot="1">
      <c r="A6" s="350"/>
      <c r="B6" s="351"/>
      <c r="C6" s="3329" t="s">
        <v>1677</v>
      </c>
      <c r="D6" s="3330"/>
      <c r="E6" s="3336" t="s">
        <v>1677</v>
      </c>
      <c r="F6" s="3337"/>
      <c r="G6" s="3329" t="s">
        <v>1677</v>
      </c>
      <c r="H6" s="3330"/>
      <c r="I6" s="3329" t="s">
        <v>1677</v>
      </c>
      <c r="J6" s="3330"/>
      <c r="K6" s="537" t="s">
        <v>1678</v>
      </c>
      <c r="L6" s="860"/>
      <c r="M6" s="861"/>
      <c r="N6" s="861"/>
      <c r="O6" s="861"/>
      <c r="P6" s="3321"/>
      <c r="Q6" s="3322"/>
      <c r="R6" s="3325"/>
      <c r="S6" s="3326"/>
      <c r="T6" s="3327"/>
      <c r="U6" s="3328"/>
      <c r="V6" s="3298"/>
      <c r="W6" s="3298"/>
      <c r="X6" s="1265"/>
      <c r="Y6" s="3327"/>
      <c r="Z6" s="3328"/>
      <c r="AA6" s="3312"/>
      <c r="AB6" s="3312"/>
      <c r="AC6" s="3312"/>
    </row>
    <row r="7" spans="1:29" s="102" customFormat="1" ht="15" thickBot="1">
      <c r="A7" s="352" t="s">
        <v>1679</v>
      </c>
      <c r="B7" s="353"/>
      <c r="C7" s="354">
        <f>'数据-取费表'!B2</f>
        <v>45845</v>
      </c>
      <c r="D7" s="355">
        <v>100</v>
      </c>
      <c r="E7" s="356"/>
      <c r="F7" s="357">
        <f>SUMIF(52:52,YEAR(E7)&amp;"-"&amp;MONTH(E7),53:53)</f>
        <v>0</v>
      </c>
      <c r="G7" s="356"/>
      <c r="H7" s="355">
        <f>SUMIF(52:52,YEAR(G7)&amp;"-"&amp;MONTH(G7),53:53)</f>
        <v>0</v>
      </c>
      <c r="I7" s="356"/>
      <c r="J7" s="355">
        <f>SUMIF(52:52,YEAR(I7)&amp;"-"&amp;MONTH(I7),53:53)</f>
        <v>0</v>
      </c>
      <c r="K7" s="38"/>
      <c r="L7" s="862"/>
      <c r="M7" s="863"/>
      <c r="N7" s="863"/>
      <c r="O7" s="863"/>
      <c r="P7" s="3333" t="s">
        <v>1680</v>
      </c>
      <c r="Q7" s="3335"/>
      <c r="R7" s="664" t="s">
        <v>14</v>
      </c>
      <c r="S7" s="665">
        <f t="shared" ref="S7:S15" si="0">F7</f>
        <v>0</v>
      </c>
      <c r="T7" s="664" t="s">
        <v>14</v>
      </c>
      <c r="U7" s="665">
        <f t="shared" ref="U7:U15" si="1">H7</f>
        <v>0</v>
      </c>
      <c r="V7" s="664" t="s">
        <v>14</v>
      </c>
      <c r="W7" s="665">
        <f t="shared" ref="W7:W15" si="2">J7</f>
        <v>0</v>
      </c>
      <c r="X7" s="666"/>
      <c r="Y7" s="3333" t="s">
        <v>1680</v>
      </c>
      <c r="Z7" s="3334"/>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33" t="s">
        <v>1683</v>
      </c>
      <c r="Q8" s="3334"/>
      <c r="R8" s="664" t="s">
        <v>14</v>
      </c>
      <c r="S8" s="665">
        <f t="shared" si="0"/>
        <v>100</v>
      </c>
      <c r="T8" s="664" t="s">
        <v>14</v>
      </c>
      <c r="U8" s="665">
        <f t="shared" si="1"/>
        <v>100</v>
      </c>
      <c r="V8" s="664" t="s">
        <v>14</v>
      </c>
      <c r="W8" s="665">
        <f t="shared" si="2"/>
        <v>100</v>
      </c>
      <c r="X8" s="666"/>
      <c r="Y8" s="3333" t="s">
        <v>1683</v>
      </c>
      <c r="Z8" s="3334"/>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297" t="s">
        <v>1686</v>
      </c>
      <c r="Q9" s="530" t="str">
        <f t="shared" ref="Q9:Q15" si="6">B9</f>
        <v>用途</v>
      </c>
      <c r="R9" s="664" t="s">
        <v>14</v>
      </c>
      <c r="S9" s="665">
        <f t="shared" si="0"/>
        <v>100</v>
      </c>
      <c r="T9" s="664" t="s">
        <v>14</v>
      </c>
      <c r="U9" s="665">
        <f t="shared" si="1"/>
        <v>100</v>
      </c>
      <c r="V9" s="664" t="s">
        <v>14</v>
      </c>
      <c r="W9" s="665">
        <f t="shared" si="2"/>
        <v>100</v>
      </c>
      <c r="X9" s="666"/>
      <c r="Y9" s="3309"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297"/>
      <c r="Q10" s="530" t="str">
        <f t="shared" si="6"/>
        <v>土地使用年限（年）</v>
      </c>
      <c r="R10" s="664" t="s">
        <v>14</v>
      </c>
      <c r="S10" s="665">
        <f t="shared" si="0"/>
        <v>100</v>
      </c>
      <c r="T10" s="664" t="s">
        <v>14</v>
      </c>
      <c r="U10" s="665">
        <f t="shared" si="1"/>
        <v>100</v>
      </c>
      <c r="V10" s="664" t="s">
        <v>14</v>
      </c>
      <c r="W10" s="665">
        <f t="shared" si="2"/>
        <v>100</v>
      </c>
      <c r="X10" s="666"/>
      <c r="Y10" s="330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297"/>
      <c r="Q11" s="530" t="str">
        <f t="shared" si="6"/>
        <v>容积率</v>
      </c>
      <c r="R11" s="664" t="s">
        <v>14</v>
      </c>
      <c r="S11" s="665">
        <f t="shared" si="0"/>
        <v>100</v>
      </c>
      <c r="T11" s="664" t="s">
        <v>14</v>
      </c>
      <c r="U11" s="665">
        <f t="shared" si="1"/>
        <v>100</v>
      </c>
      <c r="V11" s="664" t="s">
        <v>14</v>
      </c>
      <c r="W11" s="665">
        <f t="shared" si="2"/>
        <v>100</v>
      </c>
      <c r="X11" s="666"/>
      <c r="Y11" s="330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297"/>
      <c r="Q12" s="530">
        <f t="shared" si="6"/>
        <v>111</v>
      </c>
      <c r="R12" s="664" t="s">
        <v>14</v>
      </c>
      <c r="S12" s="665">
        <f t="shared" si="0"/>
        <v>100</v>
      </c>
      <c r="T12" s="664" t="s">
        <v>14</v>
      </c>
      <c r="U12" s="665">
        <f t="shared" si="1"/>
        <v>100</v>
      </c>
      <c r="V12" s="664" t="s">
        <v>14</v>
      </c>
      <c r="W12" s="665">
        <f t="shared" si="2"/>
        <v>100</v>
      </c>
      <c r="X12" s="666"/>
      <c r="Y12" s="330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297"/>
      <c r="Q13" s="530">
        <f t="shared" si="6"/>
        <v>111</v>
      </c>
      <c r="R13" s="664" t="s">
        <v>14</v>
      </c>
      <c r="S13" s="665">
        <f t="shared" si="0"/>
        <v>100</v>
      </c>
      <c r="T13" s="664" t="s">
        <v>14</v>
      </c>
      <c r="U13" s="665">
        <f t="shared" si="1"/>
        <v>100</v>
      </c>
      <c r="V13" s="664" t="s">
        <v>14</v>
      </c>
      <c r="W13" s="665">
        <f t="shared" si="2"/>
        <v>100</v>
      </c>
      <c r="X13" s="666"/>
      <c r="Y13" s="3309"/>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297"/>
      <c r="Q14" s="530">
        <f t="shared" si="6"/>
        <v>111</v>
      </c>
      <c r="R14" s="664" t="s">
        <v>14</v>
      </c>
      <c r="S14" s="665">
        <f t="shared" si="0"/>
        <v>100</v>
      </c>
      <c r="T14" s="664" t="s">
        <v>14</v>
      </c>
      <c r="U14" s="665">
        <f t="shared" si="1"/>
        <v>100</v>
      </c>
      <c r="V14" s="664" t="s">
        <v>14</v>
      </c>
      <c r="W14" s="665">
        <f t="shared" si="2"/>
        <v>100</v>
      </c>
      <c r="X14" s="666"/>
      <c r="Y14" s="3309"/>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299" t="s">
        <v>1691</v>
      </c>
      <c r="Q15" s="1263" t="str">
        <f t="shared" si="6"/>
        <v>产业集聚程度</v>
      </c>
      <c r="R15" s="667" t="s">
        <v>14</v>
      </c>
      <c r="S15" s="668">
        <f t="shared" si="0"/>
        <v>100</v>
      </c>
      <c r="T15" s="667" t="s">
        <v>14</v>
      </c>
      <c r="U15" s="668">
        <f t="shared" si="1"/>
        <v>100</v>
      </c>
      <c r="V15" s="667" t="s">
        <v>14</v>
      </c>
      <c r="W15" s="668">
        <f t="shared" si="2"/>
        <v>100</v>
      </c>
      <c r="X15" s="1265"/>
      <c r="Y15" s="329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00"/>
      <c r="Q16" s="1263"/>
      <c r="R16" s="667"/>
      <c r="S16" s="668"/>
      <c r="T16" s="667"/>
      <c r="U16" s="668"/>
      <c r="V16" s="667"/>
      <c r="W16" s="668"/>
      <c r="X16" s="1265"/>
      <c r="Y16" s="3300"/>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00"/>
      <c r="Q17" s="1263" t="str">
        <f>B17</f>
        <v>交通便捷度</v>
      </c>
      <c r="R17" s="667" t="s">
        <v>14</v>
      </c>
      <c r="S17" s="668">
        <f>F17</f>
        <v>100</v>
      </c>
      <c r="T17" s="667" t="s">
        <v>14</v>
      </c>
      <c r="U17" s="668">
        <f>H17</f>
        <v>100</v>
      </c>
      <c r="V17" s="667" t="s">
        <v>14</v>
      </c>
      <c r="W17" s="668">
        <f>J17</f>
        <v>100</v>
      </c>
      <c r="X17" s="1265"/>
      <c r="Y17" s="330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00"/>
      <c r="Q18" s="1263"/>
      <c r="R18" s="667"/>
      <c r="S18" s="668"/>
      <c r="T18" s="667"/>
      <c r="U18" s="668"/>
      <c r="V18" s="667"/>
      <c r="W18" s="668"/>
      <c r="X18" s="1265"/>
      <c r="Y18" s="3300"/>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00"/>
      <c r="Q19" s="1263" t="str">
        <f>B19</f>
        <v>公共配套设施</v>
      </c>
      <c r="R19" s="667" t="s">
        <v>14</v>
      </c>
      <c r="S19" s="668">
        <f>F19</f>
        <v>100</v>
      </c>
      <c r="T19" s="667" t="s">
        <v>14</v>
      </c>
      <c r="U19" s="668">
        <f>H19</f>
        <v>100</v>
      </c>
      <c r="V19" s="667" t="s">
        <v>14</v>
      </c>
      <c r="W19" s="668">
        <f>J19</f>
        <v>100</v>
      </c>
      <c r="X19" s="1265"/>
      <c r="Y19" s="330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00"/>
      <c r="Q20" s="1263"/>
      <c r="R20" s="667"/>
      <c r="S20" s="668"/>
      <c r="T20" s="667"/>
      <c r="U20" s="668"/>
      <c r="V20" s="667"/>
      <c r="W20" s="668"/>
      <c r="X20" s="1265"/>
      <c r="Y20" s="3300"/>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00"/>
      <c r="Q21" s="1263" t="str">
        <f>B21</f>
        <v>基础设施水平</v>
      </c>
      <c r="R21" s="667" t="s">
        <v>14</v>
      </c>
      <c r="S21" s="668">
        <f>F21</f>
        <v>100</v>
      </c>
      <c r="T21" s="667" t="s">
        <v>14</v>
      </c>
      <c r="U21" s="668">
        <f>H21</f>
        <v>100</v>
      </c>
      <c r="V21" s="667" t="s">
        <v>14</v>
      </c>
      <c r="W21" s="668">
        <f>J21</f>
        <v>100</v>
      </c>
      <c r="X21" s="1265"/>
      <c r="Y21" s="330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00"/>
      <c r="Q22" s="1263"/>
      <c r="R22" s="667"/>
      <c r="S22" s="668"/>
      <c r="T22" s="667"/>
      <c r="U22" s="668"/>
      <c r="V22" s="667"/>
      <c r="W22" s="668"/>
      <c r="X22" s="1265"/>
      <c r="Y22" s="3300"/>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00"/>
      <c r="Q23" s="1263" t="str">
        <f>B23</f>
        <v>环境质量</v>
      </c>
      <c r="R23" s="667" t="s">
        <v>14</v>
      </c>
      <c r="S23" s="668">
        <f>F23</f>
        <v>100</v>
      </c>
      <c r="T23" s="667" t="s">
        <v>14</v>
      </c>
      <c r="U23" s="668">
        <f>H23</f>
        <v>100</v>
      </c>
      <c r="V23" s="667" t="s">
        <v>14</v>
      </c>
      <c r="W23" s="668">
        <f>J23</f>
        <v>100</v>
      </c>
      <c r="X23" s="1265"/>
      <c r="Y23" s="330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00"/>
      <c r="Q24" s="1263"/>
      <c r="R24" s="667"/>
      <c r="S24" s="668"/>
      <c r="T24" s="667"/>
      <c r="U24" s="668"/>
      <c r="V24" s="667"/>
      <c r="W24" s="668"/>
      <c r="X24" s="1265"/>
      <c r="Y24" s="330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00"/>
      <c r="Q25" s="1263">
        <f>B25</f>
        <v>111</v>
      </c>
      <c r="R25" s="667" t="s">
        <v>14</v>
      </c>
      <c r="S25" s="668">
        <f>F25</f>
        <v>100</v>
      </c>
      <c r="T25" s="667" t="s">
        <v>14</v>
      </c>
      <c r="U25" s="668">
        <f>H25</f>
        <v>100</v>
      </c>
      <c r="V25" s="667" t="s">
        <v>14</v>
      </c>
      <c r="W25" s="668">
        <f>J25</f>
        <v>100</v>
      </c>
      <c r="X25" s="1265"/>
      <c r="Y25" s="330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00"/>
      <c r="Q26" s="1263">
        <f t="shared" ref="Q26:Q40" si="11">B26</f>
        <v>111</v>
      </c>
      <c r="R26" s="667" t="s">
        <v>14</v>
      </c>
      <c r="S26" s="668">
        <f>F26</f>
        <v>100</v>
      </c>
      <c r="T26" s="667" t="s">
        <v>14</v>
      </c>
      <c r="U26" s="668">
        <f>H26</f>
        <v>100</v>
      </c>
      <c r="V26" s="667" t="s">
        <v>14</v>
      </c>
      <c r="W26" s="668">
        <f>J26</f>
        <v>100</v>
      </c>
      <c r="X26" s="1265"/>
      <c r="Y26" s="330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00"/>
      <c r="Q27" s="530">
        <f t="shared" si="11"/>
        <v>111</v>
      </c>
      <c r="R27" s="664" t="s">
        <v>14</v>
      </c>
      <c r="S27" s="665">
        <f>F27</f>
        <v>100</v>
      </c>
      <c r="T27" s="664" t="s">
        <v>14</v>
      </c>
      <c r="U27" s="665">
        <f>H27</f>
        <v>100</v>
      </c>
      <c r="V27" s="664" t="s">
        <v>14</v>
      </c>
      <c r="W27" s="665">
        <f>J27</f>
        <v>100</v>
      </c>
      <c r="X27" s="666"/>
      <c r="Y27" s="3300"/>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00"/>
      <c r="Q28" s="1263">
        <f t="shared" si="11"/>
        <v>111</v>
      </c>
      <c r="R28" s="667" t="s">
        <v>14</v>
      </c>
      <c r="S28" s="668">
        <f t="shared" ref="S28:S40" si="12">F28</f>
        <v>100</v>
      </c>
      <c r="T28" s="667" t="s">
        <v>14</v>
      </c>
      <c r="U28" s="668">
        <f t="shared" ref="U28:U40" si="13">H28</f>
        <v>100</v>
      </c>
      <c r="V28" s="667" t="s">
        <v>14</v>
      </c>
      <c r="W28" s="668">
        <f t="shared" ref="W28:W40" si="14">J28</f>
        <v>100</v>
      </c>
      <c r="X28" s="1265"/>
      <c r="Y28" s="3300"/>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355" t="s">
        <v>1696</v>
      </c>
      <c r="Q29" s="1263" t="str">
        <f t="shared" si="11"/>
        <v>建筑类型</v>
      </c>
      <c r="R29" s="667" t="s">
        <v>14</v>
      </c>
      <c r="S29" s="668">
        <f t="shared" si="12"/>
        <v>100</v>
      </c>
      <c r="T29" s="667" t="s">
        <v>14</v>
      </c>
      <c r="U29" s="668">
        <f t="shared" si="13"/>
        <v>100</v>
      </c>
      <c r="V29" s="667" t="s">
        <v>14</v>
      </c>
      <c r="W29" s="668">
        <f t="shared" si="14"/>
        <v>100</v>
      </c>
      <c r="X29" s="1265"/>
      <c r="Y29" s="330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04"/>
      <c r="Q30" s="531" t="str">
        <f t="shared" si="11"/>
        <v>项目建筑规模</v>
      </c>
      <c r="R30" s="669" t="s">
        <v>14</v>
      </c>
      <c r="S30" s="670" t="e">
        <f t="shared" si="12"/>
        <v>#N/A</v>
      </c>
      <c r="T30" s="669" t="s">
        <v>14</v>
      </c>
      <c r="U30" s="670" t="e">
        <f t="shared" si="13"/>
        <v>#N/A</v>
      </c>
      <c r="V30" s="669" t="s">
        <v>14</v>
      </c>
      <c r="W30" s="670" t="e">
        <f t="shared" si="14"/>
        <v>#N/A</v>
      </c>
      <c r="X30" s="671"/>
      <c r="Y30" s="330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04"/>
      <c r="Q31" s="1263" t="str">
        <f t="shared" si="11"/>
        <v>建筑结构</v>
      </c>
      <c r="R31" s="667" t="s">
        <v>14</v>
      </c>
      <c r="S31" s="668">
        <f t="shared" si="12"/>
        <v>100</v>
      </c>
      <c r="T31" s="667" t="s">
        <v>14</v>
      </c>
      <c r="U31" s="668">
        <f t="shared" si="13"/>
        <v>100</v>
      </c>
      <c r="V31" s="667" t="s">
        <v>14</v>
      </c>
      <c r="W31" s="668">
        <f t="shared" si="14"/>
        <v>100</v>
      </c>
      <c r="X31" s="1265"/>
      <c r="Y31" s="330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04"/>
      <c r="Q32" s="1263" t="str">
        <f t="shared" si="11"/>
        <v>公共部分装修</v>
      </c>
      <c r="R32" s="667" t="s">
        <v>14</v>
      </c>
      <c r="S32" s="668">
        <f t="shared" si="12"/>
        <v>100</v>
      </c>
      <c r="T32" s="667" t="s">
        <v>14</v>
      </c>
      <c r="U32" s="668">
        <f t="shared" si="13"/>
        <v>100</v>
      </c>
      <c r="V32" s="667" t="s">
        <v>14</v>
      </c>
      <c r="W32" s="668">
        <f t="shared" si="14"/>
        <v>100</v>
      </c>
      <c r="X32" s="1265"/>
      <c r="Y32" s="330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04"/>
      <c r="Q33" s="1263" t="str">
        <f t="shared" si="11"/>
        <v>成新度</v>
      </c>
      <c r="R33" s="667" t="s">
        <v>14</v>
      </c>
      <c r="S33" s="668" t="e">
        <f t="shared" si="12"/>
        <v>#N/A</v>
      </c>
      <c r="T33" s="667" t="s">
        <v>14</v>
      </c>
      <c r="U33" s="668" t="e">
        <f t="shared" si="13"/>
        <v>#N/A</v>
      </c>
      <c r="V33" s="667" t="s">
        <v>14</v>
      </c>
      <c r="W33" s="668" t="e">
        <f t="shared" si="14"/>
        <v>#N/A</v>
      </c>
      <c r="X33" s="1265"/>
      <c r="Y33" s="330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04"/>
      <c r="Q34" s="530" t="str">
        <f t="shared" si="11"/>
        <v>物业管理</v>
      </c>
      <c r="R34" s="664" t="s">
        <v>14</v>
      </c>
      <c r="S34" s="665">
        <f t="shared" si="12"/>
        <v>100</v>
      </c>
      <c r="T34" s="664" t="s">
        <v>14</v>
      </c>
      <c r="U34" s="665">
        <f t="shared" si="13"/>
        <v>100</v>
      </c>
      <c r="V34" s="664" t="s">
        <v>14</v>
      </c>
      <c r="W34" s="665">
        <f t="shared" si="14"/>
        <v>100</v>
      </c>
      <c r="X34" s="666"/>
      <c r="Y34" s="330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04" t="s">
        <v>1696</v>
      </c>
      <c r="Q35" s="1263" t="str">
        <f t="shared" si="11"/>
        <v>市政基础设施</v>
      </c>
      <c r="R35" s="667" t="s">
        <v>14</v>
      </c>
      <c r="S35" s="668">
        <f t="shared" si="12"/>
        <v>100</v>
      </c>
      <c r="T35" s="667" t="s">
        <v>14</v>
      </c>
      <c r="U35" s="668">
        <f t="shared" si="13"/>
        <v>100</v>
      </c>
      <c r="V35" s="667" t="s">
        <v>14</v>
      </c>
      <c r="W35" s="668">
        <f t="shared" si="14"/>
        <v>100</v>
      </c>
      <c r="X35" s="1265"/>
      <c r="Y35" s="330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04"/>
      <c r="Q36" s="1263" t="str">
        <f t="shared" si="11"/>
        <v>内部装修</v>
      </c>
      <c r="R36" s="667" t="s">
        <v>14</v>
      </c>
      <c r="S36" s="668">
        <f t="shared" si="12"/>
        <v>100</v>
      </c>
      <c r="T36" s="667" t="s">
        <v>14</v>
      </c>
      <c r="U36" s="668">
        <f t="shared" si="13"/>
        <v>100</v>
      </c>
      <c r="V36" s="667" t="s">
        <v>14</v>
      </c>
      <c r="W36" s="668">
        <f t="shared" si="14"/>
        <v>100</v>
      </c>
      <c r="X36" s="1265"/>
      <c r="Y36" s="330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04"/>
      <c r="Q37" s="1263" t="str">
        <f t="shared" si="11"/>
        <v>内部装修状况</v>
      </c>
      <c r="R37" s="667" t="s">
        <v>14</v>
      </c>
      <c r="S37" s="668">
        <f t="shared" si="12"/>
        <v>100</v>
      </c>
      <c r="T37" s="667" t="s">
        <v>14</v>
      </c>
      <c r="U37" s="668">
        <f t="shared" si="13"/>
        <v>100</v>
      </c>
      <c r="V37" s="667" t="s">
        <v>14</v>
      </c>
      <c r="W37" s="668">
        <f t="shared" si="14"/>
        <v>100</v>
      </c>
      <c r="X37" s="1265"/>
      <c r="Y37" s="330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04"/>
      <c r="Q38" s="531">
        <f t="shared" si="11"/>
        <v>111</v>
      </c>
      <c r="R38" s="669" t="s">
        <v>14</v>
      </c>
      <c r="S38" s="670">
        <f t="shared" si="12"/>
        <v>100</v>
      </c>
      <c r="T38" s="669" t="s">
        <v>14</v>
      </c>
      <c r="U38" s="670">
        <f t="shared" si="13"/>
        <v>100</v>
      </c>
      <c r="V38" s="669" t="s">
        <v>14</v>
      </c>
      <c r="W38" s="670">
        <f t="shared" si="14"/>
        <v>100</v>
      </c>
      <c r="X38" s="671"/>
      <c r="Y38" s="330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04"/>
      <c r="Q39" s="1263">
        <f t="shared" si="11"/>
        <v>111</v>
      </c>
      <c r="R39" s="667" t="s">
        <v>14</v>
      </c>
      <c r="S39" s="668">
        <f t="shared" si="12"/>
        <v>100</v>
      </c>
      <c r="T39" s="667" t="s">
        <v>14</v>
      </c>
      <c r="U39" s="668">
        <f t="shared" si="13"/>
        <v>100</v>
      </c>
      <c r="V39" s="667" t="s">
        <v>14</v>
      </c>
      <c r="W39" s="668">
        <f t="shared" si="14"/>
        <v>100</v>
      </c>
      <c r="X39" s="1265"/>
      <c r="Y39" s="3304"/>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05"/>
      <c r="Q40" s="1263">
        <f t="shared" si="11"/>
        <v>111</v>
      </c>
      <c r="R40" s="667" t="s">
        <v>14</v>
      </c>
      <c r="S40" s="668">
        <f t="shared" si="12"/>
        <v>100</v>
      </c>
      <c r="T40" s="667" t="s">
        <v>14</v>
      </c>
      <c r="U40" s="668">
        <f t="shared" si="13"/>
        <v>100</v>
      </c>
      <c r="V40" s="667" t="s">
        <v>14</v>
      </c>
      <c r="W40" s="668">
        <f t="shared" si="14"/>
        <v>100</v>
      </c>
      <c r="X40" s="1265"/>
      <c r="Y40" s="3305"/>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297" t="str">
        <f>A41</f>
        <v>成交单价（元/平方米）</v>
      </c>
      <c r="Q41" s="3297"/>
      <c r="R41" s="3298">
        <f>E41</f>
        <v>0</v>
      </c>
      <c r="S41" s="3298"/>
      <c r="T41" s="3298">
        <f>G41</f>
        <v>0</v>
      </c>
      <c r="U41" s="3298"/>
      <c r="V41" s="3298">
        <f>I41</f>
        <v>0</v>
      </c>
      <c r="W41" s="3298"/>
      <c r="X41" s="385"/>
      <c r="Y41" s="673"/>
      <c r="Z41" s="385"/>
      <c r="AA41" s="385"/>
      <c r="AB41" s="385"/>
      <c r="AC41" s="385"/>
    </row>
    <row r="42" spans="1:29" ht="1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297" t="str">
        <f>A42</f>
        <v>比较价值（元/平方米）</v>
      </c>
      <c r="Q42" s="3297"/>
      <c r="R42" s="3298" t="e">
        <f>IF(F1="售价",ROUND(PRODUCT(R41,AA7:AA40),0),ROUND(PRODUCT(R41,AA7:AA40),1))</f>
        <v>#DIV/0!</v>
      </c>
      <c r="S42" s="3298"/>
      <c r="T42" s="3298" t="e">
        <f>IF(F1="售价",ROUND(PRODUCT(T41,AB7:AB40),0),ROUND(PRODUCT(T41,AB7:AB40),1))</f>
        <v>#DIV/0!</v>
      </c>
      <c r="U42" s="3298"/>
      <c r="V42" s="3298" t="e">
        <f>IF(F1="售价",ROUND(PRODUCT(V41,AC7:AC40),0),ROUND(PRODUCT(V41,AC7:AC40),1))</f>
        <v>#DIV/0!</v>
      </c>
      <c r="W42" s="3298"/>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294" t="str">
        <f>A43</f>
        <v>估价对象XX用房的比较价值（楼面单价，元/平方米）</v>
      </c>
      <c r="Q43" s="3295"/>
      <c r="R43" s="3296" t="e">
        <f>IF(F1="售价",ROUND(IF(D42="简单平均",AVERAGE(R42:V42),R42*F42+T42*H42+V42*J42),0),ROUND(IF(D42="简单平均",AVERAGE(R42:V42),R42*F42+T42*H42+V42*J42),1))</f>
        <v>#DIV/0!</v>
      </c>
      <c r="S43" s="3296"/>
      <c r="T43" s="3296"/>
      <c r="U43" s="3296"/>
      <c r="V43" s="3296"/>
      <c r="W43" s="3296"/>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9"/>
      <c r="O54" s="2540"/>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4.4">
      <c r="A4" s="345" t="s">
        <v>1769</v>
      </c>
      <c r="B4" s="346"/>
      <c r="C4" s="3313" t="s">
        <v>1770</v>
      </c>
      <c r="D4" s="3314"/>
      <c r="E4" s="3315" t="s">
        <v>1771</v>
      </c>
      <c r="F4" s="3316"/>
      <c r="G4" s="3313" t="s">
        <v>1772</v>
      </c>
      <c r="H4" s="3314"/>
      <c r="I4" s="3313" t="s">
        <v>1773</v>
      </c>
      <c r="J4" s="3314"/>
      <c r="K4" s="537" t="s">
        <v>1774</v>
      </c>
      <c r="L4" s="2487"/>
      <c r="M4" s="2488"/>
      <c r="N4" s="2488"/>
      <c r="O4" s="2488"/>
      <c r="P4" s="3317" t="s">
        <v>1775</v>
      </c>
      <c r="Q4" s="3318"/>
      <c r="R4" s="3323" t="s">
        <v>1771</v>
      </c>
      <c r="S4" s="3324"/>
      <c r="T4" s="3323" t="s">
        <v>1772</v>
      </c>
      <c r="U4" s="3324"/>
      <c r="V4" s="3298" t="s">
        <v>1773</v>
      </c>
      <c r="W4" s="3298"/>
      <c r="X4" s="1265"/>
      <c r="Y4" s="3323" t="s">
        <v>1775</v>
      </c>
      <c r="Z4" s="3324"/>
      <c r="AA4" s="3310" t="s">
        <v>1771</v>
      </c>
      <c r="AB4" s="3311" t="s">
        <v>1772</v>
      </c>
      <c r="AC4" s="3310" t="s">
        <v>1773</v>
      </c>
    </row>
    <row r="5" spans="1:29">
      <c r="A5" s="348"/>
      <c r="B5" s="349"/>
      <c r="C5" s="3331" t="s">
        <v>1673</v>
      </c>
      <c r="D5" s="3332"/>
      <c r="E5" s="3338" t="s">
        <v>1674</v>
      </c>
      <c r="F5" s="3339"/>
      <c r="G5" s="3331" t="s">
        <v>1675</v>
      </c>
      <c r="H5" s="3332"/>
      <c r="I5" s="3331" t="s">
        <v>1676</v>
      </c>
      <c r="J5" s="3332"/>
      <c r="K5" s="537"/>
      <c r="L5" s="2487"/>
      <c r="M5" s="2488"/>
      <c r="N5" s="2488"/>
      <c r="O5" s="2488"/>
      <c r="P5" s="3319"/>
      <c r="Q5" s="3320"/>
      <c r="R5" s="3325"/>
      <c r="S5" s="3326"/>
      <c r="T5" s="3325"/>
      <c r="U5" s="3326"/>
      <c r="V5" s="3298"/>
      <c r="W5" s="3298"/>
      <c r="X5" s="1265"/>
      <c r="Y5" s="3325"/>
      <c r="Z5" s="3326"/>
      <c r="AA5" s="3311"/>
      <c r="AB5" s="3311"/>
      <c r="AC5" s="3311"/>
    </row>
    <row r="6" spans="1:29" ht="15" thickBot="1">
      <c r="A6" s="350"/>
      <c r="B6" s="351"/>
      <c r="C6" s="3329" t="s">
        <v>1677</v>
      </c>
      <c r="D6" s="3330"/>
      <c r="E6" s="3336" t="s">
        <v>1677</v>
      </c>
      <c r="F6" s="3337"/>
      <c r="G6" s="3329" t="s">
        <v>1677</v>
      </c>
      <c r="H6" s="3330"/>
      <c r="I6" s="3329" t="s">
        <v>1677</v>
      </c>
      <c r="J6" s="3330"/>
      <c r="K6" s="537" t="s">
        <v>1678</v>
      </c>
      <c r="L6" s="2487"/>
      <c r="M6" s="2488"/>
      <c r="N6" s="2488"/>
      <c r="O6" s="2488"/>
      <c r="P6" s="3321"/>
      <c r="Q6" s="3322"/>
      <c r="R6" s="3325"/>
      <c r="S6" s="3326"/>
      <c r="T6" s="3327"/>
      <c r="U6" s="3328"/>
      <c r="V6" s="3298"/>
      <c r="W6" s="3298"/>
      <c r="X6" s="1265"/>
      <c r="Y6" s="3327"/>
      <c r="Z6" s="3328"/>
      <c r="AA6" s="3312"/>
      <c r="AB6" s="3312"/>
      <c r="AC6" s="3312"/>
    </row>
    <row r="7" spans="1:29" s="102" customFormat="1" ht="15" thickBot="1">
      <c r="A7" s="352" t="s">
        <v>1679</v>
      </c>
      <c r="B7" s="353"/>
      <c r="C7" s="354">
        <f>'数据-取费表'!B2</f>
        <v>45845</v>
      </c>
      <c r="D7" s="355">
        <v>100</v>
      </c>
      <c r="E7" s="356"/>
      <c r="F7" s="357">
        <f>SUMIF(48:48,YEAR(E7)&amp;"-"&amp;MONTH(E7),49:49)</f>
        <v>0</v>
      </c>
      <c r="G7" s="356"/>
      <c r="H7" s="355">
        <f>SUMIF(48:48,YEAR(G7)&amp;"-"&amp;MONTH(G7),49:49)</f>
        <v>0</v>
      </c>
      <c r="I7" s="356"/>
      <c r="J7" s="355">
        <f>SUMIF(48:48,YEAR(I7)&amp;"-"&amp;MONTH(I7),49:49)</f>
        <v>0</v>
      </c>
      <c r="K7" s="38"/>
      <c r="L7" s="2489"/>
      <c r="M7" s="2440"/>
      <c r="N7" s="2440"/>
      <c r="O7" s="2440"/>
      <c r="P7" s="3333" t="s">
        <v>1680</v>
      </c>
      <c r="Q7" s="3335"/>
      <c r="R7" s="664" t="s">
        <v>14</v>
      </c>
      <c r="S7" s="665">
        <f t="shared" ref="S7:S14" si="0">F7</f>
        <v>0</v>
      </c>
      <c r="T7" s="664" t="s">
        <v>14</v>
      </c>
      <c r="U7" s="665">
        <f t="shared" ref="U7:U14" si="1">H7</f>
        <v>0</v>
      </c>
      <c r="V7" s="664" t="s">
        <v>14</v>
      </c>
      <c r="W7" s="665">
        <f t="shared" ref="W7:W14" si="2">J7</f>
        <v>0</v>
      </c>
      <c r="X7" s="666"/>
      <c r="Y7" s="3333" t="s">
        <v>1680</v>
      </c>
      <c r="Z7" s="3334"/>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33" t="s">
        <v>1683</v>
      </c>
      <c r="Q8" s="3334"/>
      <c r="R8" s="664" t="s">
        <v>14</v>
      </c>
      <c r="S8" s="665">
        <f t="shared" si="0"/>
        <v>100</v>
      </c>
      <c r="T8" s="664" t="s">
        <v>14</v>
      </c>
      <c r="U8" s="665">
        <f t="shared" si="1"/>
        <v>100</v>
      </c>
      <c r="V8" s="664" t="s">
        <v>14</v>
      </c>
      <c r="W8" s="665">
        <f t="shared" si="2"/>
        <v>100</v>
      </c>
      <c r="X8" s="666"/>
      <c r="Y8" s="3333" t="s">
        <v>1683</v>
      </c>
      <c r="Z8" s="3334"/>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297" t="s">
        <v>1686</v>
      </c>
      <c r="Q9" s="530" t="str">
        <f t="shared" ref="Q9:Q14" si="6">B9</f>
        <v>用途</v>
      </c>
      <c r="R9" s="664" t="s">
        <v>14</v>
      </c>
      <c r="S9" s="665">
        <f t="shared" si="0"/>
        <v>100</v>
      </c>
      <c r="T9" s="664" t="s">
        <v>14</v>
      </c>
      <c r="U9" s="665">
        <f t="shared" si="1"/>
        <v>100</v>
      </c>
      <c r="V9" s="664" t="s">
        <v>14</v>
      </c>
      <c r="W9" s="665">
        <f t="shared" si="2"/>
        <v>100</v>
      </c>
      <c r="X9" s="666"/>
      <c r="Y9" s="3309" t="s">
        <v>1687</v>
      </c>
      <c r="Z9" s="50" t="str">
        <f t="shared" ref="Z9:Z14" si="7">Q9</f>
        <v>用途</v>
      </c>
      <c r="AA9" s="50">
        <f t="shared" si="3"/>
        <v>1</v>
      </c>
      <c r="AB9" s="50">
        <f t="shared" si="4"/>
        <v>1</v>
      </c>
      <c r="AC9" s="50">
        <f t="shared" si="5"/>
        <v>1</v>
      </c>
    </row>
    <row r="10" spans="1:29" s="366" customFormat="1" ht="28.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297"/>
      <c r="Q10" s="530" t="str">
        <f t="shared" si="6"/>
        <v>土地使用年限（年）</v>
      </c>
      <c r="R10" s="664" t="s">
        <v>14</v>
      </c>
      <c r="S10" s="665">
        <f t="shared" si="0"/>
        <v>100</v>
      </c>
      <c r="T10" s="664" t="s">
        <v>14</v>
      </c>
      <c r="U10" s="665">
        <f t="shared" si="1"/>
        <v>100</v>
      </c>
      <c r="V10" s="664" t="s">
        <v>14</v>
      </c>
      <c r="W10" s="665">
        <f t="shared" si="2"/>
        <v>100</v>
      </c>
      <c r="X10" s="666"/>
      <c r="Y10" s="330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297"/>
      <c r="Q11" s="530">
        <f t="shared" si="6"/>
        <v>111</v>
      </c>
      <c r="R11" s="664" t="s">
        <v>14</v>
      </c>
      <c r="S11" s="665">
        <f t="shared" si="0"/>
        <v>100</v>
      </c>
      <c r="T11" s="664" t="s">
        <v>14</v>
      </c>
      <c r="U11" s="665">
        <f t="shared" si="1"/>
        <v>100</v>
      </c>
      <c r="V11" s="664" t="s">
        <v>14</v>
      </c>
      <c r="W11" s="665">
        <f t="shared" si="2"/>
        <v>100</v>
      </c>
      <c r="X11" s="666"/>
      <c r="Y11" s="330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297"/>
      <c r="Q12" s="530">
        <f t="shared" si="6"/>
        <v>111</v>
      </c>
      <c r="R12" s="664" t="s">
        <v>14</v>
      </c>
      <c r="S12" s="665">
        <f t="shared" si="0"/>
        <v>100</v>
      </c>
      <c r="T12" s="664" t="s">
        <v>14</v>
      </c>
      <c r="U12" s="665">
        <f t="shared" si="1"/>
        <v>100</v>
      </c>
      <c r="V12" s="664" t="s">
        <v>14</v>
      </c>
      <c r="W12" s="665">
        <f t="shared" si="2"/>
        <v>100</v>
      </c>
      <c r="X12" s="666"/>
      <c r="Y12" s="3309"/>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297"/>
      <c r="Q13" s="530">
        <f t="shared" si="6"/>
        <v>111</v>
      </c>
      <c r="R13" s="664" t="s">
        <v>14</v>
      </c>
      <c r="S13" s="665">
        <f t="shared" si="0"/>
        <v>100</v>
      </c>
      <c r="T13" s="664" t="s">
        <v>14</v>
      </c>
      <c r="U13" s="665">
        <f t="shared" si="1"/>
        <v>100</v>
      </c>
      <c r="V13" s="664" t="s">
        <v>14</v>
      </c>
      <c r="W13" s="665">
        <f t="shared" si="2"/>
        <v>100</v>
      </c>
      <c r="X13" s="666"/>
      <c r="Y13" s="3309"/>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299" t="s">
        <v>1691</v>
      </c>
      <c r="Q14" s="1263" t="str">
        <f t="shared" si="6"/>
        <v>交通便捷度</v>
      </c>
      <c r="R14" s="667" t="s">
        <v>14</v>
      </c>
      <c r="S14" s="668">
        <f t="shared" si="0"/>
        <v>100</v>
      </c>
      <c r="T14" s="667" t="s">
        <v>14</v>
      </c>
      <c r="U14" s="668">
        <f t="shared" si="1"/>
        <v>100</v>
      </c>
      <c r="V14" s="667" t="s">
        <v>14</v>
      </c>
      <c r="W14" s="668">
        <f t="shared" si="2"/>
        <v>100</v>
      </c>
      <c r="X14" s="1265"/>
      <c r="Y14" s="329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00"/>
      <c r="Q15" s="1263"/>
      <c r="R15" s="667"/>
      <c r="S15" s="668"/>
      <c r="T15" s="667"/>
      <c r="U15" s="668"/>
      <c r="V15" s="667"/>
      <c r="W15" s="668"/>
      <c r="X15" s="1265"/>
      <c r="Y15" s="3300"/>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00"/>
      <c r="Q16" s="1263" t="str">
        <f>B16</f>
        <v>公共配套设施</v>
      </c>
      <c r="R16" s="667" t="s">
        <v>14</v>
      </c>
      <c r="S16" s="668">
        <f>F16</f>
        <v>100</v>
      </c>
      <c r="T16" s="667" t="s">
        <v>14</v>
      </c>
      <c r="U16" s="668">
        <f>H16</f>
        <v>100</v>
      </c>
      <c r="V16" s="667" t="s">
        <v>14</v>
      </c>
      <c r="W16" s="668">
        <f>J16</f>
        <v>100</v>
      </c>
      <c r="X16" s="1265"/>
      <c r="Y16" s="330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00"/>
      <c r="Q17" s="1263"/>
      <c r="R17" s="667"/>
      <c r="S17" s="668"/>
      <c r="T17" s="667"/>
      <c r="U17" s="668"/>
      <c r="V17" s="667"/>
      <c r="W17" s="668"/>
      <c r="X17" s="1265"/>
      <c r="Y17" s="3300"/>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00"/>
      <c r="Q18" s="1263" t="str">
        <f>B18</f>
        <v>基础设施水平</v>
      </c>
      <c r="R18" s="667" t="s">
        <v>14</v>
      </c>
      <c r="S18" s="668">
        <f>F18</f>
        <v>100</v>
      </c>
      <c r="T18" s="667" t="s">
        <v>14</v>
      </c>
      <c r="U18" s="668">
        <f>H18</f>
        <v>100</v>
      </c>
      <c r="V18" s="667" t="s">
        <v>14</v>
      </c>
      <c r="W18" s="668">
        <f>J18</f>
        <v>100</v>
      </c>
      <c r="X18" s="1265"/>
      <c r="Y18" s="330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00"/>
      <c r="Q19" s="1263"/>
      <c r="R19" s="667"/>
      <c r="S19" s="668"/>
      <c r="T19" s="667"/>
      <c r="U19" s="668"/>
      <c r="V19" s="667"/>
      <c r="W19" s="668"/>
      <c r="X19" s="1265"/>
      <c r="Y19" s="3300"/>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00"/>
      <c r="Q20" s="1263" t="str">
        <f>B20</f>
        <v>自然及人文环境</v>
      </c>
      <c r="R20" s="667" t="s">
        <v>14</v>
      </c>
      <c r="S20" s="668">
        <f>F20</f>
        <v>100</v>
      </c>
      <c r="T20" s="667" t="s">
        <v>14</v>
      </c>
      <c r="U20" s="668">
        <f>H20</f>
        <v>100</v>
      </c>
      <c r="V20" s="667" t="s">
        <v>14</v>
      </c>
      <c r="W20" s="668">
        <f>J20</f>
        <v>100</v>
      </c>
      <c r="X20" s="1265"/>
      <c r="Y20" s="330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00"/>
      <c r="Q21" s="1263"/>
      <c r="R21" s="667"/>
      <c r="S21" s="668"/>
      <c r="T21" s="667"/>
      <c r="U21" s="668"/>
      <c r="V21" s="667"/>
      <c r="W21" s="668"/>
      <c r="X21" s="1265"/>
      <c r="Y21" s="330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00"/>
      <c r="Q22" s="1263" t="str">
        <f>B22</f>
        <v>楼层</v>
      </c>
      <c r="R22" s="667" t="s">
        <v>14</v>
      </c>
      <c r="S22" s="668">
        <f>F22</f>
        <v>100</v>
      </c>
      <c r="T22" s="667" t="s">
        <v>14</v>
      </c>
      <c r="U22" s="668">
        <f>H22</f>
        <v>100</v>
      </c>
      <c r="V22" s="667" t="s">
        <v>14</v>
      </c>
      <c r="W22" s="668">
        <f>J22</f>
        <v>100</v>
      </c>
      <c r="X22" s="1265"/>
      <c r="Y22" s="330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00"/>
      <c r="Q23" s="1263">
        <f>B23</f>
        <v>111</v>
      </c>
      <c r="R23" s="667" t="s">
        <v>14</v>
      </c>
      <c r="S23" s="668">
        <f>F23</f>
        <v>100</v>
      </c>
      <c r="T23" s="667" t="s">
        <v>14</v>
      </c>
      <c r="U23" s="668">
        <f>H23</f>
        <v>100</v>
      </c>
      <c r="V23" s="667" t="s">
        <v>14</v>
      </c>
      <c r="W23" s="668">
        <f>J23</f>
        <v>100</v>
      </c>
      <c r="X23" s="1265"/>
      <c r="Y23" s="330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00"/>
      <c r="Q24" s="1263">
        <f t="shared" ref="Q24:Q36" si="11">B24</f>
        <v>111</v>
      </c>
      <c r="R24" s="667" t="s">
        <v>14</v>
      </c>
      <c r="S24" s="668">
        <f>F24</f>
        <v>100</v>
      </c>
      <c r="T24" s="667" t="s">
        <v>14</v>
      </c>
      <c r="U24" s="668">
        <f>H24</f>
        <v>100</v>
      </c>
      <c r="V24" s="667" t="s">
        <v>14</v>
      </c>
      <c r="W24" s="668">
        <f>J24</f>
        <v>100</v>
      </c>
      <c r="X24" s="1265"/>
      <c r="Y24" s="3300"/>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00"/>
      <c r="Q25" s="530">
        <f t="shared" si="11"/>
        <v>111</v>
      </c>
      <c r="R25" s="664" t="s">
        <v>14</v>
      </c>
      <c r="S25" s="665">
        <f>F25</f>
        <v>100</v>
      </c>
      <c r="T25" s="664" t="s">
        <v>14</v>
      </c>
      <c r="U25" s="665">
        <f>H25</f>
        <v>100</v>
      </c>
      <c r="V25" s="664" t="s">
        <v>14</v>
      </c>
      <c r="W25" s="665">
        <f>J25</f>
        <v>100</v>
      </c>
      <c r="X25" s="666"/>
      <c r="Y25" s="3300"/>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35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0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04"/>
      <c r="Q27" s="531" t="str">
        <f t="shared" si="11"/>
        <v>项目停车位配比</v>
      </c>
      <c r="R27" s="669" t="s">
        <v>14</v>
      </c>
      <c r="S27" s="670">
        <f t="shared" si="12"/>
        <v>100</v>
      </c>
      <c r="T27" s="669" t="s">
        <v>14</v>
      </c>
      <c r="U27" s="670">
        <f t="shared" si="13"/>
        <v>100</v>
      </c>
      <c r="V27" s="669" t="s">
        <v>14</v>
      </c>
      <c r="W27" s="670">
        <f t="shared" si="14"/>
        <v>100</v>
      </c>
      <c r="X27" s="671"/>
      <c r="Y27" s="330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04"/>
      <c r="Q28" s="1263" t="str">
        <f t="shared" si="11"/>
        <v>公共部分装修</v>
      </c>
      <c r="R28" s="667" t="s">
        <v>14</v>
      </c>
      <c r="S28" s="668">
        <f t="shared" si="12"/>
        <v>100</v>
      </c>
      <c r="T28" s="667" t="s">
        <v>14</v>
      </c>
      <c r="U28" s="668">
        <f t="shared" si="13"/>
        <v>100</v>
      </c>
      <c r="V28" s="667" t="s">
        <v>14</v>
      </c>
      <c r="W28" s="668">
        <f t="shared" si="14"/>
        <v>100</v>
      </c>
      <c r="X28" s="1265"/>
      <c r="Y28" s="330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04"/>
      <c r="Q29" s="1263" t="str">
        <f t="shared" si="11"/>
        <v>成新率</v>
      </c>
      <c r="R29" s="667" t="s">
        <v>14</v>
      </c>
      <c r="S29" s="668" t="e">
        <f t="shared" si="12"/>
        <v>#N/A</v>
      </c>
      <c r="T29" s="667" t="s">
        <v>14</v>
      </c>
      <c r="U29" s="668" t="e">
        <f t="shared" si="13"/>
        <v>#N/A</v>
      </c>
      <c r="V29" s="667" t="s">
        <v>14</v>
      </c>
      <c r="W29" s="668" t="e">
        <f t="shared" si="14"/>
        <v>#N/A</v>
      </c>
      <c r="X29" s="1265"/>
      <c r="Y29" s="330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04"/>
      <c r="Q30" s="1263" t="str">
        <f t="shared" si="11"/>
        <v>物业等级</v>
      </c>
      <c r="R30" s="667" t="s">
        <v>14</v>
      </c>
      <c r="S30" s="668">
        <f t="shared" si="12"/>
        <v>100</v>
      </c>
      <c r="T30" s="667" t="s">
        <v>14</v>
      </c>
      <c r="U30" s="668">
        <f t="shared" si="13"/>
        <v>100</v>
      </c>
      <c r="V30" s="667" t="s">
        <v>14</v>
      </c>
      <c r="W30" s="668">
        <f t="shared" si="14"/>
        <v>100</v>
      </c>
      <c r="X30" s="1265"/>
      <c r="Y30" s="330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04"/>
      <c r="Q31" s="530" t="str">
        <f t="shared" si="11"/>
        <v>停车位面积</v>
      </c>
      <c r="R31" s="664" t="s">
        <v>14</v>
      </c>
      <c r="S31" s="665" t="e">
        <f t="shared" si="12"/>
        <v>#N/A</v>
      </c>
      <c r="T31" s="664" t="s">
        <v>14</v>
      </c>
      <c r="U31" s="665" t="e">
        <f t="shared" si="13"/>
        <v>#N/A</v>
      </c>
      <c r="V31" s="664" t="s">
        <v>14</v>
      </c>
      <c r="W31" s="665" t="e">
        <f t="shared" si="14"/>
        <v>#N/A</v>
      </c>
      <c r="X31" s="666"/>
      <c r="Y31" s="330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04" t="s">
        <v>1696</v>
      </c>
      <c r="Q32" s="1263" t="str">
        <f t="shared" si="11"/>
        <v>车位类型</v>
      </c>
      <c r="R32" s="667" t="s">
        <v>14</v>
      </c>
      <c r="S32" s="668">
        <f t="shared" si="12"/>
        <v>100</v>
      </c>
      <c r="T32" s="667" t="s">
        <v>14</v>
      </c>
      <c r="U32" s="668">
        <f t="shared" si="13"/>
        <v>100</v>
      </c>
      <c r="V32" s="667" t="s">
        <v>14</v>
      </c>
      <c r="W32" s="668">
        <f t="shared" si="14"/>
        <v>100</v>
      </c>
      <c r="X32" s="1265"/>
      <c r="Y32" s="330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04"/>
      <c r="Q33" s="1263" t="str">
        <f t="shared" si="11"/>
        <v>是否直接入户</v>
      </c>
      <c r="R33" s="667" t="s">
        <v>14</v>
      </c>
      <c r="S33" s="668">
        <f t="shared" si="12"/>
        <v>100</v>
      </c>
      <c r="T33" s="667" t="s">
        <v>14</v>
      </c>
      <c r="U33" s="668">
        <f t="shared" si="13"/>
        <v>100</v>
      </c>
      <c r="V33" s="667" t="s">
        <v>14</v>
      </c>
      <c r="W33" s="668">
        <f t="shared" si="14"/>
        <v>100</v>
      </c>
      <c r="X33" s="1265"/>
      <c r="Y33" s="330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04"/>
      <c r="Q34" s="1263">
        <f t="shared" si="11"/>
        <v>111</v>
      </c>
      <c r="R34" s="667" t="s">
        <v>14</v>
      </c>
      <c r="S34" s="668">
        <f t="shared" si="12"/>
        <v>100</v>
      </c>
      <c r="T34" s="667" t="s">
        <v>14</v>
      </c>
      <c r="U34" s="668">
        <f t="shared" si="13"/>
        <v>100</v>
      </c>
      <c r="V34" s="667" t="s">
        <v>14</v>
      </c>
      <c r="W34" s="668">
        <f t="shared" si="14"/>
        <v>100</v>
      </c>
      <c r="X34" s="1265"/>
      <c r="Y34" s="330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04"/>
      <c r="Q35" s="531">
        <f t="shared" si="11"/>
        <v>111</v>
      </c>
      <c r="R35" s="669" t="s">
        <v>14</v>
      </c>
      <c r="S35" s="670">
        <f t="shared" si="12"/>
        <v>100</v>
      </c>
      <c r="T35" s="669" t="s">
        <v>14</v>
      </c>
      <c r="U35" s="670">
        <f t="shared" si="13"/>
        <v>100</v>
      </c>
      <c r="V35" s="669" t="s">
        <v>14</v>
      </c>
      <c r="W35" s="670">
        <f t="shared" si="14"/>
        <v>100</v>
      </c>
      <c r="X35" s="671"/>
      <c r="Y35" s="3304"/>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04"/>
      <c r="Q36" s="1263">
        <f t="shared" si="11"/>
        <v>111</v>
      </c>
      <c r="R36" s="667" t="s">
        <v>14</v>
      </c>
      <c r="S36" s="668">
        <f t="shared" si="12"/>
        <v>100</v>
      </c>
      <c r="T36" s="667" t="s">
        <v>14</v>
      </c>
      <c r="U36" s="668">
        <f t="shared" si="13"/>
        <v>100</v>
      </c>
      <c r="V36" s="667" t="s">
        <v>14</v>
      </c>
      <c r="W36" s="668">
        <f t="shared" si="14"/>
        <v>100</v>
      </c>
      <c r="X36" s="1265"/>
      <c r="Y36" s="3304"/>
      <c r="Z36" s="1264">
        <f t="shared" si="15"/>
        <v>111</v>
      </c>
      <c r="AA36" s="1264">
        <f t="shared" si="3"/>
        <v>1</v>
      </c>
      <c r="AB36" s="1264">
        <f t="shared" si="4"/>
        <v>1</v>
      </c>
      <c r="AC36" s="1264">
        <f t="shared" si="5"/>
        <v>1</v>
      </c>
    </row>
    <row r="37" spans="1:29" ht="14.4">
      <c r="A37" s="416" t="s">
        <v>1844</v>
      </c>
      <c r="B37" s="1821" t="s">
        <v>3353</v>
      </c>
      <c r="C37" s="1081" t="s">
        <v>0</v>
      </c>
      <c r="D37" s="418"/>
      <c r="E37" s="419"/>
      <c r="F37" s="420"/>
      <c r="G37" s="421"/>
      <c r="H37" s="422"/>
      <c r="I37" s="419"/>
      <c r="J37" s="422"/>
      <c r="K37" s="545"/>
      <c r="L37" s="2495"/>
      <c r="M37" s="2488"/>
      <c r="N37" s="2488"/>
      <c r="O37" s="2488"/>
      <c r="P37" s="3297" t="str">
        <f>A37</f>
        <v>成交单价</v>
      </c>
      <c r="Q37" s="3297"/>
      <c r="R37" s="3298">
        <f>E37</f>
        <v>0</v>
      </c>
      <c r="S37" s="3298"/>
      <c r="T37" s="3298">
        <f>G37</f>
        <v>0</v>
      </c>
      <c r="U37" s="3298"/>
      <c r="V37" s="3298">
        <f>I37</f>
        <v>0</v>
      </c>
      <c r="W37" s="3298"/>
      <c r="X37" s="385"/>
      <c r="Y37" s="673"/>
      <c r="Z37" s="385"/>
      <c r="AA37" s="385"/>
      <c r="AB37" s="385"/>
      <c r="AC37" s="385"/>
    </row>
    <row r="38" spans="1:29" ht="1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5"/>
      <c r="M38" s="2488"/>
      <c r="N38" s="2488"/>
      <c r="O38" s="2488"/>
      <c r="P38" s="3297" t="str">
        <f>A38</f>
        <v>比较价值（元/平方米）</v>
      </c>
      <c r="Q38" s="3297"/>
      <c r="R38" s="3298" t="e">
        <f>IF(F1="售价",ROUND(PRODUCT(R37,AA7:AA36),0),ROUND(PRODUCT(R37,AA7:AA36),1))</f>
        <v>#DIV/0!</v>
      </c>
      <c r="S38" s="3298"/>
      <c r="T38" s="3298" t="e">
        <f>IF(F1="售价",ROUND(PRODUCT(T37,AB7:AB36),0),ROUND(PRODUCT(T37,AB7:AB36),1))</f>
        <v>#DIV/0!</v>
      </c>
      <c r="U38" s="3298"/>
      <c r="V38" s="3298" t="e">
        <f>IF(F1="售价",ROUND(PRODUCT(V37,AC7:AC36),0),ROUND(PRODUCT(V37,AC7:AC36),1))</f>
        <v>#DIV/0!</v>
      </c>
      <c r="W38" s="3298"/>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5"/>
      <c r="M39" s="2488"/>
      <c r="N39" s="2488"/>
      <c r="O39" s="2488"/>
      <c r="P39" s="3294" t="str">
        <f>A39</f>
        <v>估价对象XX用房的比较价值（楼面单价，元/平方米）</v>
      </c>
      <c r="Q39" s="3295"/>
      <c r="R39" s="3356" t="e">
        <f>IF(F1="售价",ROUND(IF(D38="简单平均",AVERAGE(R38:W38),R38*F38+T38*H38+V38*J38),0),ROUND(IF(D38="简单平均",AVERAGE(R38:V38),R38*F38+T38*H38+V38*J38),1))</f>
        <v>#DIV/0!</v>
      </c>
      <c r="S39" s="3356"/>
      <c r="T39" s="3356"/>
      <c r="U39" s="3356"/>
      <c r="V39" s="3356"/>
      <c r="W39" s="335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2.2"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4.4">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4"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9.4"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4"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4"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4"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4"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4"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4"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4"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4"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4"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9.4"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4"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4"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4"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4"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4"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4"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13" t="s">
        <v>1770</v>
      </c>
      <c r="D4" s="3314"/>
      <c r="E4" s="3315" t="s">
        <v>1771</v>
      </c>
      <c r="F4" s="3316"/>
      <c r="G4" s="3313" t="s">
        <v>1772</v>
      </c>
      <c r="H4" s="3314"/>
      <c r="I4" s="3313" t="s">
        <v>1773</v>
      </c>
      <c r="J4" s="3314"/>
      <c r="K4" s="537" t="s">
        <v>1774</v>
      </c>
      <c r="L4" s="2487"/>
      <c r="M4" s="2488"/>
      <c r="N4" s="2488"/>
      <c r="O4" s="2488"/>
      <c r="P4" s="3317" t="s">
        <v>1775</v>
      </c>
      <c r="Q4" s="3318"/>
      <c r="R4" s="3323" t="s">
        <v>1771</v>
      </c>
      <c r="S4" s="3324"/>
      <c r="T4" s="3323" t="s">
        <v>1772</v>
      </c>
      <c r="U4" s="3324"/>
      <c r="V4" s="3298" t="s">
        <v>1773</v>
      </c>
      <c r="W4" s="3298"/>
      <c r="X4" s="1265"/>
      <c r="Y4" s="3323" t="s">
        <v>1775</v>
      </c>
      <c r="Z4" s="3324"/>
      <c r="AA4" s="3310" t="s">
        <v>1771</v>
      </c>
      <c r="AB4" s="3311" t="s">
        <v>1772</v>
      </c>
      <c r="AC4" s="3310" t="s">
        <v>1773</v>
      </c>
    </row>
    <row r="5" spans="1:29">
      <c r="A5" s="348"/>
      <c r="B5" s="349"/>
      <c r="C5" s="3331" t="s">
        <v>1673</v>
      </c>
      <c r="D5" s="3332"/>
      <c r="E5" s="3338" t="s">
        <v>1674</v>
      </c>
      <c r="F5" s="3339"/>
      <c r="G5" s="3331" t="s">
        <v>1675</v>
      </c>
      <c r="H5" s="3332"/>
      <c r="I5" s="3331" t="s">
        <v>1676</v>
      </c>
      <c r="J5" s="3332"/>
      <c r="K5" s="537"/>
      <c r="L5" s="2487"/>
      <c r="M5" s="2488"/>
      <c r="N5" s="2488"/>
      <c r="O5" s="2488"/>
      <c r="P5" s="3319"/>
      <c r="Q5" s="3320"/>
      <c r="R5" s="3325"/>
      <c r="S5" s="3326"/>
      <c r="T5" s="3325"/>
      <c r="U5" s="3326"/>
      <c r="V5" s="3298"/>
      <c r="W5" s="3298"/>
      <c r="X5" s="1265"/>
      <c r="Y5" s="3325"/>
      <c r="Z5" s="3326"/>
      <c r="AA5" s="3311"/>
      <c r="AB5" s="3311"/>
      <c r="AC5" s="3311"/>
    </row>
    <row r="6" spans="1:29" ht="15" thickBot="1">
      <c r="A6" s="350"/>
      <c r="B6" s="351"/>
      <c r="C6" s="3329" t="s">
        <v>1677</v>
      </c>
      <c r="D6" s="3330"/>
      <c r="E6" s="3336" t="s">
        <v>1677</v>
      </c>
      <c r="F6" s="3337"/>
      <c r="G6" s="3329" t="s">
        <v>1677</v>
      </c>
      <c r="H6" s="3330"/>
      <c r="I6" s="3329" t="s">
        <v>1677</v>
      </c>
      <c r="J6" s="3330"/>
      <c r="K6" s="537" t="s">
        <v>1678</v>
      </c>
      <c r="L6" s="2487"/>
      <c r="M6" s="2488"/>
      <c r="N6" s="2488"/>
      <c r="O6" s="2488"/>
      <c r="P6" s="3321"/>
      <c r="Q6" s="3322"/>
      <c r="R6" s="3325"/>
      <c r="S6" s="3326"/>
      <c r="T6" s="3327"/>
      <c r="U6" s="3328"/>
      <c r="V6" s="3298"/>
      <c r="W6" s="3298"/>
      <c r="X6" s="1265"/>
      <c r="Y6" s="3327"/>
      <c r="Z6" s="3328"/>
      <c r="AA6" s="3312"/>
      <c r="AB6" s="3312"/>
      <c r="AC6" s="3312"/>
    </row>
    <row r="7" spans="1:29" s="102" customFormat="1" ht="15" thickBot="1">
      <c r="A7" s="352" t="s">
        <v>1679</v>
      </c>
      <c r="B7" s="353"/>
      <c r="C7" s="354">
        <f>'数据-取费表'!B2</f>
        <v>45845</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33" t="s">
        <v>1680</v>
      </c>
      <c r="Q7" s="3335"/>
      <c r="R7" s="664" t="s">
        <v>14</v>
      </c>
      <c r="S7" s="665">
        <f t="shared" ref="S7:S14" si="0">F7</f>
        <v>0</v>
      </c>
      <c r="T7" s="664" t="s">
        <v>14</v>
      </c>
      <c r="U7" s="665">
        <f t="shared" ref="U7:U14" si="1">H7</f>
        <v>0</v>
      </c>
      <c r="V7" s="664" t="s">
        <v>14</v>
      </c>
      <c r="W7" s="665">
        <f t="shared" ref="W7:W14" si="2">J7</f>
        <v>0</v>
      </c>
      <c r="X7" s="666"/>
      <c r="Y7" s="3333" t="s">
        <v>1680</v>
      </c>
      <c r="Z7" s="3334"/>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33" t="s">
        <v>1683</v>
      </c>
      <c r="Q8" s="3334"/>
      <c r="R8" s="664" t="s">
        <v>14</v>
      </c>
      <c r="S8" s="665">
        <f t="shared" si="0"/>
        <v>100</v>
      </c>
      <c r="T8" s="664" t="s">
        <v>14</v>
      </c>
      <c r="U8" s="665">
        <f t="shared" si="1"/>
        <v>100</v>
      </c>
      <c r="V8" s="664" t="s">
        <v>14</v>
      </c>
      <c r="W8" s="665">
        <f t="shared" si="2"/>
        <v>100</v>
      </c>
      <c r="X8" s="666"/>
      <c r="Y8" s="3333" t="s">
        <v>1683</v>
      </c>
      <c r="Z8" s="3334"/>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297" t="s">
        <v>1686</v>
      </c>
      <c r="Q9" s="530" t="str">
        <f t="shared" ref="Q9:Q14" si="6">B9</f>
        <v>用途</v>
      </c>
      <c r="R9" s="664" t="s">
        <v>14</v>
      </c>
      <c r="S9" s="665">
        <f t="shared" si="0"/>
        <v>100</v>
      </c>
      <c r="T9" s="664" t="s">
        <v>14</v>
      </c>
      <c r="U9" s="665">
        <f t="shared" si="1"/>
        <v>100</v>
      </c>
      <c r="V9" s="664" t="s">
        <v>14</v>
      </c>
      <c r="W9" s="665">
        <f t="shared" si="2"/>
        <v>100</v>
      </c>
      <c r="X9" s="666"/>
      <c r="Y9" s="3309" t="s">
        <v>1687</v>
      </c>
      <c r="Z9" s="50" t="str">
        <f t="shared" ref="Z9:Z14" si="7">Q9</f>
        <v>用途</v>
      </c>
      <c r="AA9" s="50">
        <f t="shared" si="3"/>
        <v>1</v>
      </c>
      <c r="AB9" s="50">
        <f t="shared" si="4"/>
        <v>1</v>
      </c>
      <c r="AC9" s="50">
        <f t="shared" si="5"/>
        <v>1</v>
      </c>
    </row>
    <row r="10" spans="1:29" s="366" customFormat="1" ht="28.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297"/>
      <c r="Q10" s="530" t="str">
        <f t="shared" si="6"/>
        <v>土地使用年限（年）</v>
      </c>
      <c r="R10" s="664" t="s">
        <v>14</v>
      </c>
      <c r="S10" s="665">
        <f t="shared" si="0"/>
        <v>100</v>
      </c>
      <c r="T10" s="664" t="s">
        <v>14</v>
      </c>
      <c r="U10" s="665">
        <f t="shared" si="1"/>
        <v>100</v>
      </c>
      <c r="V10" s="664" t="s">
        <v>14</v>
      </c>
      <c r="W10" s="665">
        <f t="shared" si="2"/>
        <v>100</v>
      </c>
      <c r="X10" s="666"/>
      <c r="Y10" s="330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297"/>
      <c r="Q11" s="530">
        <f t="shared" si="6"/>
        <v>111</v>
      </c>
      <c r="R11" s="664" t="s">
        <v>14</v>
      </c>
      <c r="S11" s="665">
        <f t="shared" si="0"/>
        <v>100</v>
      </c>
      <c r="T11" s="664" t="s">
        <v>14</v>
      </c>
      <c r="U11" s="665">
        <f t="shared" si="1"/>
        <v>100</v>
      </c>
      <c r="V11" s="664" t="s">
        <v>14</v>
      </c>
      <c r="W11" s="665">
        <f t="shared" si="2"/>
        <v>100</v>
      </c>
      <c r="X11" s="666"/>
      <c r="Y11" s="330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297"/>
      <c r="Q12" s="530">
        <f t="shared" si="6"/>
        <v>111</v>
      </c>
      <c r="R12" s="664" t="s">
        <v>14</v>
      </c>
      <c r="S12" s="665">
        <f t="shared" si="0"/>
        <v>100</v>
      </c>
      <c r="T12" s="664" t="s">
        <v>14</v>
      </c>
      <c r="U12" s="665">
        <f t="shared" si="1"/>
        <v>100</v>
      </c>
      <c r="V12" s="664" t="s">
        <v>14</v>
      </c>
      <c r="W12" s="665">
        <f t="shared" si="2"/>
        <v>100</v>
      </c>
      <c r="X12" s="666"/>
      <c r="Y12" s="3309"/>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297"/>
      <c r="Q13" s="530">
        <f t="shared" si="6"/>
        <v>111</v>
      </c>
      <c r="R13" s="664" t="s">
        <v>14</v>
      </c>
      <c r="S13" s="665">
        <f t="shared" si="0"/>
        <v>100</v>
      </c>
      <c r="T13" s="664" t="s">
        <v>14</v>
      </c>
      <c r="U13" s="665">
        <f t="shared" si="1"/>
        <v>100</v>
      </c>
      <c r="V13" s="664" t="s">
        <v>14</v>
      </c>
      <c r="W13" s="665">
        <f t="shared" si="2"/>
        <v>100</v>
      </c>
      <c r="X13" s="666"/>
      <c r="Y13" s="3309"/>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299" t="s">
        <v>1691</v>
      </c>
      <c r="Q14" s="1263" t="str">
        <f t="shared" si="6"/>
        <v>交通便捷度</v>
      </c>
      <c r="R14" s="667" t="s">
        <v>14</v>
      </c>
      <c r="S14" s="668">
        <f t="shared" si="0"/>
        <v>100</v>
      </c>
      <c r="T14" s="667" t="s">
        <v>14</v>
      </c>
      <c r="U14" s="668">
        <f t="shared" si="1"/>
        <v>100</v>
      </c>
      <c r="V14" s="667" t="s">
        <v>14</v>
      </c>
      <c r="W14" s="668">
        <f t="shared" si="2"/>
        <v>100</v>
      </c>
      <c r="X14" s="1265"/>
      <c r="Y14" s="329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00"/>
      <c r="Q15" s="1263"/>
      <c r="R15" s="667"/>
      <c r="S15" s="668"/>
      <c r="T15" s="667"/>
      <c r="U15" s="668"/>
      <c r="V15" s="667"/>
      <c r="W15" s="668"/>
      <c r="X15" s="1265"/>
      <c r="Y15" s="3300"/>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00"/>
      <c r="Q16" s="1263" t="str">
        <f>B16</f>
        <v>公共配套设施</v>
      </c>
      <c r="R16" s="667" t="s">
        <v>14</v>
      </c>
      <c r="S16" s="668">
        <f>F16</f>
        <v>100</v>
      </c>
      <c r="T16" s="667" t="s">
        <v>14</v>
      </c>
      <c r="U16" s="668">
        <f>H16</f>
        <v>100</v>
      </c>
      <c r="V16" s="667" t="s">
        <v>14</v>
      </c>
      <c r="W16" s="668">
        <f>J16</f>
        <v>100</v>
      </c>
      <c r="X16" s="1265"/>
      <c r="Y16" s="330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00"/>
      <c r="Q17" s="1263"/>
      <c r="R17" s="667"/>
      <c r="S17" s="668"/>
      <c r="T17" s="667"/>
      <c r="U17" s="668"/>
      <c r="V17" s="667"/>
      <c r="W17" s="668"/>
      <c r="X17" s="1265"/>
      <c r="Y17" s="3300"/>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00"/>
      <c r="Q18" s="1263" t="str">
        <f>B18</f>
        <v>基础设施水平</v>
      </c>
      <c r="R18" s="667" t="s">
        <v>14</v>
      </c>
      <c r="S18" s="668">
        <f>F18</f>
        <v>100</v>
      </c>
      <c r="T18" s="667" t="s">
        <v>14</v>
      </c>
      <c r="U18" s="668">
        <f>H18</f>
        <v>100</v>
      </c>
      <c r="V18" s="667" t="s">
        <v>14</v>
      </c>
      <c r="W18" s="668">
        <f>J18</f>
        <v>100</v>
      </c>
      <c r="X18" s="1265"/>
      <c r="Y18" s="330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00"/>
      <c r="Q19" s="1263"/>
      <c r="R19" s="667"/>
      <c r="S19" s="668"/>
      <c r="T19" s="667"/>
      <c r="U19" s="668"/>
      <c r="V19" s="667"/>
      <c r="W19" s="668"/>
      <c r="X19" s="1265"/>
      <c r="Y19" s="3300"/>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00"/>
      <c r="Q20" s="1263" t="str">
        <f>B20</f>
        <v>自然及人文环境</v>
      </c>
      <c r="R20" s="667" t="s">
        <v>14</v>
      </c>
      <c r="S20" s="668">
        <f>F20</f>
        <v>100</v>
      </c>
      <c r="T20" s="667" t="s">
        <v>14</v>
      </c>
      <c r="U20" s="668">
        <f>H20</f>
        <v>100</v>
      </c>
      <c r="V20" s="667" t="s">
        <v>14</v>
      </c>
      <c r="W20" s="668">
        <f>J20</f>
        <v>100</v>
      </c>
      <c r="X20" s="1265"/>
      <c r="Y20" s="330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00"/>
      <c r="Q21" s="1263"/>
      <c r="R21" s="667"/>
      <c r="S21" s="668"/>
      <c r="T21" s="667"/>
      <c r="U21" s="668"/>
      <c r="V21" s="667"/>
      <c r="W21" s="668"/>
      <c r="X21" s="1265"/>
      <c r="Y21" s="330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00"/>
      <c r="Q22" s="1263" t="str">
        <f>B22</f>
        <v>楼层</v>
      </c>
      <c r="R22" s="667" t="s">
        <v>14</v>
      </c>
      <c r="S22" s="668">
        <f>F22</f>
        <v>100</v>
      </c>
      <c r="T22" s="667" t="s">
        <v>14</v>
      </c>
      <c r="U22" s="668">
        <f>H22</f>
        <v>100</v>
      </c>
      <c r="V22" s="667" t="s">
        <v>14</v>
      </c>
      <c r="W22" s="668">
        <f>J22</f>
        <v>100</v>
      </c>
      <c r="X22" s="1265"/>
      <c r="Y22" s="330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00"/>
      <c r="Q23" s="1263">
        <f>B23</f>
        <v>111</v>
      </c>
      <c r="R23" s="667" t="s">
        <v>14</v>
      </c>
      <c r="S23" s="668">
        <f>F23</f>
        <v>100</v>
      </c>
      <c r="T23" s="667" t="s">
        <v>14</v>
      </c>
      <c r="U23" s="668">
        <f>H23</f>
        <v>100</v>
      </c>
      <c r="V23" s="667" t="s">
        <v>14</v>
      </c>
      <c r="W23" s="668">
        <f>J23</f>
        <v>100</v>
      </c>
      <c r="X23" s="1265"/>
      <c r="Y23" s="330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00"/>
      <c r="Q24" s="1263">
        <f t="shared" ref="Q24:Q34" si="11">B24</f>
        <v>111</v>
      </c>
      <c r="R24" s="667" t="s">
        <v>14</v>
      </c>
      <c r="S24" s="668">
        <f>F24</f>
        <v>100</v>
      </c>
      <c r="T24" s="667" t="s">
        <v>14</v>
      </c>
      <c r="U24" s="668">
        <f>H24</f>
        <v>100</v>
      </c>
      <c r="V24" s="667" t="s">
        <v>14</v>
      </c>
      <c r="W24" s="668">
        <f>J24</f>
        <v>100</v>
      </c>
      <c r="X24" s="1265"/>
      <c r="Y24" s="3300"/>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00"/>
      <c r="Q25" s="530">
        <f t="shared" si="11"/>
        <v>111</v>
      </c>
      <c r="R25" s="664" t="s">
        <v>14</v>
      </c>
      <c r="S25" s="665">
        <f>F25</f>
        <v>100</v>
      </c>
      <c r="T25" s="664" t="s">
        <v>14</v>
      </c>
      <c r="U25" s="665">
        <f>H25</f>
        <v>100</v>
      </c>
      <c r="V25" s="664" t="s">
        <v>14</v>
      </c>
      <c r="W25" s="665">
        <f>J25</f>
        <v>100</v>
      </c>
      <c r="X25" s="666"/>
      <c r="Y25" s="3300"/>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35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0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04"/>
      <c r="Q27" s="531" t="str">
        <f t="shared" si="11"/>
        <v>成新率</v>
      </c>
      <c r="R27" s="669" t="s">
        <v>14</v>
      </c>
      <c r="S27" s="670" t="e">
        <f t="shared" si="12"/>
        <v>#N/A</v>
      </c>
      <c r="T27" s="669" t="s">
        <v>14</v>
      </c>
      <c r="U27" s="670" t="e">
        <f t="shared" si="13"/>
        <v>#N/A</v>
      </c>
      <c r="V27" s="669" t="s">
        <v>14</v>
      </c>
      <c r="W27" s="670" t="e">
        <f t="shared" si="14"/>
        <v>#N/A</v>
      </c>
      <c r="X27" s="671"/>
      <c r="Y27" s="330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04"/>
      <c r="Q28" s="1263" t="str">
        <f t="shared" si="11"/>
        <v>物业等级</v>
      </c>
      <c r="R28" s="667" t="s">
        <v>14</v>
      </c>
      <c r="S28" s="668">
        <f t="shared" si="12"/>
        <v>100</v>
      </c>
      <c r="T28" s="667" t="s">
        <v>14</v>
      </c>
      <c r="U28" s="668">
        <f t="shared" si="13"/>
        <v>100</v>
      </c>
      <c r="V28" s="667" t="s">
        <v>14</v>
      </c>
      <c r="W28" s="668">
        <f t="shared" si="14"/>
        <v>100</v>
      </c>
      <c r="X28" s="1265"/>
      <c r="Y28" s="330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04"/>
      <c r="Q29" s="1263" t="str">
        <f t="shared" si="11"/>
        <v>有无电梯</v>
      </c>
      <c r="R29" s="667" t="s">
        <v>14</v>
      </c>
      <c r="S29" s="668">
        <f t="shared" si="12"/>
        <v>100</v>
      </c>
      <c r="T29" s="667" t="s">
        <v>14</v>
      </c>
      <c r="U29" s="668">
        <f t="shared" si="13"/>
        <v>100</v>
      </c>
      <c r="V29" s="667" t="s">
        <v>14</v>
      </c>
      <c r="W29" s="668">
        <f t="shared" si="14"/>
        <v>100</v>
      </c>
      <c r="X29" s="1265"/>
      <c r="Y29" s="330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04"/>
      <c r="Q30" s="1263" t="str">
        <f t="shared" si="11"/>
        <v>建筑面积</v>
      </c>
      <c r="R30" s="667" t="s">
        <v>14</v>
      </c>
      <c r="S30" s="668" t="e">
        <f t="shared" si="12"/>
        <v>#N/A</v>
      </c>
      <c r="T30" s="667" t="s">
        <v>14</v>
      </c>
      <c r="U30" s="668" t="e">
        <f t="shared" si="13"/>
        <v>#N/A</v>
      </c>
      <c r="V30" s="667" t="s">
        <v>14</v>
      </c>
      <c r="W30" s="668" t="e">
        <f t="shared" si="14"/>
        <v>#N/A</v>
      </c>
      <c r="X30" s="1265"/>
      <c r="Y30" s="330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04"/>
      <c r="Q31" s="530" t="str">
        <f t="shared" si="11"/>
        <v>是否封闭</v>
      </c>
      <c r="R31" s="664" t="s">
        <v>14</v>
      </c>
      <c r="S31" s="665">
        <f t="shared" si="12"/>
        <v>100</v>
      </c>
      <c r="T31" s="664" t="s">
        <v>14</v>
      </c>
      <c r="U31" s="665">
        <f t="shared" si="13"/>
        <v>100</v>
      </c>
      <c r="V31" s="664" t="s">
        <v>14</v>
      </c>
      <c r="W31" s="665">
        <f t="shared" si="14"/>
        <v>100</v>
      </c>
      <c r="X31" s="666"/>
      <c r="Y31" s="330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04" t="s">
        <v>1696</v>
      </c>
      <c r="Q32" s="1263">
        <f t="shared" si="11"/>
        <v>111</v>
      </c>
      <c r="R32" s="667" t="s">
        <v>14</v>
      </c>
      <c r="S32" s="668">
        <f t="shared" si="12"/>
        <v>100</v>
      </c>
      <c r="T32" s="667" t="s">
        <v>14</v>
      </c>
      <c r="U32" s="668">
        <f t="shared" si="13"/>
        <v>100</v>
      </c>
      <c r="V32" s="667" t="s">
        <v>14</v>
      </c>
      <c r="W32" s="668">
        <f t="shared" si="14"/>
        <v>100</v>
      </c>
      <c r="X32" s="1265"/>
      <c r="Y32" s="330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04"/>
      <c r="Q33" s="1263">
        <f t="shared" si="11"/>
        <v>111</v>
      </c>
      <c r="R33" s="667" t="s">
        <v>14</v>
      </c>
      <c r="S33" s="668">
        <f t="shared" si="12"/>
        <v>100</v>
      </c>
      <c r="T33" s="667" t="s">
        <v>14</v>
      </c>
      <c r="U33" s="668">
        <f t="shared" si="13"/>
        <v>100</v>
      </c>
      <c r="V33" s="667" t="s">
        <v>14</v>
      </c>
      <c r="W33" s="668">
        <f t="shared" si="14"/>
        <v>100</v>
      </c>
      <c r="X33" s="1265"/>
      <c r="Y33" s="3304"/>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04"/>
      <c r="Q34" s="1263">
        <f t="shared" si="11"/>
        <v>111</v>
      </c>
      <c r="R34" s="667" t="s">
        <v>14</v>
      </c>
      <c r="S34" s="668">
        <f t="shared" si="12"/>
        <v>100</v>
      </c>
      <c r="T34" s="667" t="s">
        <v>14</v>
      </c>
      <c r="U34" s="668">
        <f t="shared" si="13"/>
        <v>100</v>
      </c>
      <c r="V34" s="667" t="s">
        <v>14</v>
      </c>
      <c r="W34" s="668">
        <f t="shared" si="14"/>
        <v>100</v>
      </c>
      <c r="X34" s="1265"/>
      <c r="Y34" s="3304"/>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5"/>
      <c r="M35" s="2488"/>
      <c r="N35" s="2488"/>
      <c r="O35" s="2488"/>
      <c r="P35" s="3297" t="str">
        <f>A35</f>
        <v>成交单价（元/平方米）</v>
      </c>
      <c r="Q35" s="3297"/>
      <c r="R35" s="3298">
        <f>E35</f>
        <v>0</v>
      </c>
      <c r="S35" s="3298"/>
      <c r="T35" s="3298">
        <f>G35</f>
        <v>0</v>
      </c>
      <c r="U35" s="3298"/>
      <c r="V35" s="3298">
        <f>I35</f>
        <v>0</v>
      </c>
      <c r="W35" s="3298"/>
      <c r="X35" s="385"/>
      <c r="Y35" s="673"/>
      <c r="Z35" s="385"/>
      <c r="AA35" s="385"/>
      <c r="AB35" s="385"/>
      <c r="AC35" s="385"/>
    </row>
    <row r="36" spans="1:30" ht="15" thickBot="1">
      <c r="A36" s="423" t="s">
        <v>1793</v>
      </c>
      <c r="B36" s="424"/>
      <c r="C36" s="1082" t="e">
        <f>R37</f>
        <v>#DIV/0!</v>
      </c>
      <c r="D36" s="2141" t="s">
        <v>2137</v>
      </c>
      <c r="E36" s="1083" t="e">
        <f>R36</f>
        <v>#DIV/0!</v>
      </c>
      <c r="F36" s="2142"/>
      <c r="G36" s="1082" t="e">
        <f>T36</f>
        <v>#DIV/0!</v>
      </c>
      <c r="H36" s="2142"/>
      <c r="I36" s="1083" t="e">
        <f>V36</f>
        <v>#DIV/0!</v>
      </c>
      <c r="J36" s="2142"/>
      <c r="K36" s="2144">
        <f>F36+H36+J36</f>
        <v>0</v>
      </c>
      <c r="L36" s="2495"/>
      <c r="M36" s="2488"/>
      <c r="N36" s="2488"/>
      <c r="O36" s="2488"/>
      <c r="P36" s="3297" t="str">
        <f>A36</f>
        <v>比较价值（元/平方米）</v>
      </c>
      <c r="Q36" s="3297"/>
      <c r="R36" s="3298" t="e">
        <f>IF(F1="售价",ROUND(PRODUCT(R35,AA7:AA34),0),ROUND(PRODUCT(R35,AA7:AA34),1))</f>
        <v>#DIV/0!</v>
      </c>
      <c r="S36" s="3298"/>
      <c r="T36" s="3298" t="e">
        <f>IF(F1="售价",ROUND(PRODUCT(T35,AB7:AB34),0),ROUND(PRODUCT(T35,AB7:AB34),1))</f>
        <v>#DIV/0!</v>
      </c>
      <c r="U36" s="3298"/>
      <c r="V36" s="3298" t="e">
        <f>IF(F1="售价",ROUND(PRODUCT(V35,AC7:AC34),0),ROUND(PRODUCT(V35,AC7:AC34),1))</f>
        <v>#DIV/0!</v>
      </c>
      <c r="W36" s="3298"/>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5"/>
      <c r="M37" s="2488"/>
      <c r="N37" s="2488"/>
      <c r="O37" s="2488"/>
      <c r="P37" s="3294" t="str">
        <f>A37</f>
        <v>估价对象XX用房的比较价值（楼面单价，元/平方米）</v>
      </c>
      <c r="Q37" s="3295"/>
      <c r="R37" s="3356" t="e">
        <f>IF(F1="售价",ROUND(IF(D36="简单平均",AVERAGE(R36:W36),R36*F36+T36*H36+V36*J36),0),ROUND(IF(D36="简单平均",AVERAGE(R36:V36),R36*F36+T36*H36+V36*J36),1))</f>
        <v>#DIV/0!</v>
      </c>
      <c r="S37" s="3356"/>
      <c r="T37" s="3356"/>
      <c r="U37" s="3356"/>
      <c r="V37" s="3356"/>
      <c r="W37" s="335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2.2"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4.4">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4"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9.4"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4"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4"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4"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4"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4"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4"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4"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9.4"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4"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4"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4"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4"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4"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4"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4"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4"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4"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4"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4"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4"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13" t="s">
        <v>1770</v>
      </c>
      <c r="D4" s="3314"/>
      <c r="E4" s="3315" t="s">
        <v>1771</v>
      </c>
      <c r="F4" s="3316"/>
      <c r="G4" s="3313" t="s">
        <v>1772</v>
      </c>
      <c r="H4" s="3314"/>
      <c r="I4" s="3313" t="s">
        <v>1773</v>
      </c>
      <c r="J4" s="3314"/>
      <c r="K4" s="537" t="s">
        <v>1774</v>
      </c>
      <c r="L4" s="2487"/>
      <c r="M4" s="2488"/>
      <c r="N4" s="2488"/>
      <c r="O4" s="2488"/>
      <c r="P4" s="3317" t="s">
        <v>1775</v>
      </c>
      <c r="Q4" s="3318"/>
      <c r="R4" s="3323" t="s">
        <v>1771</v>
      </c>
      <c r="S4" s="3324"/>
      <c r="T4" s="3323" t="s">
        <v>1772</v>
      </c>
      <c r="U4" s="3324"/>
      <c r="V4" s="3298" t="s">
        <v>1773</v>
      </c>
      <c r="W4" s="3298"/>
      <c r="X4" s="1265"/>
      <c r="Y4" s="3323" t="s">
        <v>1775</v>
      </c>
      <c r="Z4" s="3324"/>
      <c r="AA4" s="3310" t="s">
        <v>1771</v>
      </c>
      <c r="AB4" s="3311" t="s">
        <v>1772</v>
      </c>
      <c r="AC4" s="3310" t="s">
        <v>1773</v>
      </c>
    </row>
    <row r="5" spans="1:29">
      <c r="A5" s="348"/>
      <c r="B5" s="349"/>
      <c r="C5" s="3331" t="s">
        <v>1673</v>
      </c>
      <c r="D5" s="3332"/>
      <c r="E5" s="3338" t="s">
        <v>1674</v>
      </c>
      <c r="F5" s="3339"/>
      <c r="G5" s="3331" t="s">
        <v>1675</v>
      </c>
      <c r="H5" s="3332"/>
      <c r="I5" s="3331" t="s">
        <v>1676</v>
      </c>
      <c r="J5" s="3332"/>
      <c r="K5" s="537"/>
      <c r="L5" s="2487"/>
      <c r="M5" s="2488"/>
      <c r="N5" s="2488"/>
      <c r="O5" s="2488"/>
      <c r="P5" s="3319"/>
      <c r="Q5" s="3320"/>
      <c r="R5" s="3325"/>
      <c r="S5" s="3326"/>
      <c r="T5" s="3325"/>
      <c r="U5" s="3326"/>
      <c r="V5" s="3298"/>
      <c r="W5" s="3298"/>
      <c r="X5" s="1265"/>
      <c r="Y5" s="3325"/>
      <c r="Z5" s="3326"/>
      <c r="AA5" s="3311"/>
      <c r="AB5" s="3311"/>
      <c r="AC5" s="3311"/>
    </row>
    <row r="6" spans="1:29" ht="15" thickBot="1">
      <c r="A6" s="350"/>
      <c r="B6" s="351"/>
      <c r="C6" s="3329" t="s">
        <v>1677</v>
      </c>
      <c r="D6" s="3330"/>
      <c r="E6" s="3336" t="s">
        <v>1677</v>
      </c>
      <c r="F6" s="3337"/>
      <c r="G6" s="3329" t="s">
        <v>1677</v>
      </c>
      <c r="H6" s="3330"/>
      <c r="I6" s="3329" t="s">
        <v>1677</v>
      </c>
      <c r="J6" s="3330"/>
      <c r="K6" s="537" t="s">
        <v>1678</v>
      </c>
      <c r="L6" s="2487"/>
      <c r="M6" s="2488"/>
      <c r="N6" s="2488"/>
      <c r="O6" s="2488"/>
      <c r="P6" s="3321"/>
      <c r="Q6" s="3322"/>
      <c r="R6" s="3325"/>
      <c r="S6" s="3326"/>
      <c r="T6" s="3327"/>
      <c r="U6" s="3328"/>
      <c r="V6" s="3298"/>
      <c r="W6" s="3298"/>
      <c r="X6" s="1265"/>
      <c r="Y6" s="3327"/>
      <c r="Z6" s="3328"/>
      <c r="AA6" s="3312"/>
      <c r="AB6" s="3312"/>
      <c r="AC6" s="3312"/>
    </row>
    <row r="7" spans="1:29" s="102" customFormat="1" ht="15" thickBot="1">
      <c r="A7" s="352" t="s">
        <v>1679</v>
      </c>
      <c r="B7" s="353"/>
      <c r="C7" s="354">
        <f>'数据-取费表'!B2</f>
        <v>45845</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33" t="s">
        <v>1680</v>
      </c>
      <c r="Q7" s="3335"/>
      <c r="R7" s="664" t="s">
        <v>14</v>
      </c>
      <c r="S7" s="665">
        <f t="shared" ref="S7:S15" si="0">F7</f>
        <v>0</v>
      </c>
      <c r="T7" s="664" t="s">
        <v>14</v>
      </c>
      <c r="U7" s="665">
        <f t="shared" ref="U7:U15" si="1">H7</f>
        <v>0</v>
      </c>
      <c r="V7" s="664" t="s">
        <v>14</v>
      </c>
      <c r="W7" s="665">
        <f t="shared" ref="W7:W15" si="2">J7</f>
        <v>0</v>
      </c>
      <c r="X7" s="666"/>
      <c r="Y7" s="3333" t="s">
        <v>1680</v>
      </c>
      <c r="Z7" s="3334"/>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33" t="s">
        <v>1683</v>
      </c>
      <c r="Q8" s="3334"/>
      <c r="R8" s="664" t="s">
        <v>14</v>
      </c>
      <c r="S8" s="665">
        <f t="shared" si="0"/>
        <v>0</v>
      </c>
      <c r="T8" s="664" t="s">
        <v>14</v>
      </c>
      <c r="U8" s="665">
        <f t="shared" si="1"/>
        <v>0</v>
      </c>
      <c r="V8" s="664" t="s">
        <v>14</v>
      </c>
      <c r="W8" s="665">
        <f t="shared" si="2"/>
        <v>0</v>
      </c>
      <c r="X8" s="666"/>
      <c r="Y8" s="3333" t="s">
        <v>1683</v>
      </c>
      <c r="Z8" s="3334"/>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297" t="s">
        <v>1686</v>
      </c>
      <c r="Q9" s="530" t="str">
        <f t="shared" ref="Q9:Q15" si="6">B9</f>
        <v>用途</v>
      </c>
      <c r="R9" s="664" t="s">
        <v>14</v>
      </c>
      <c r="S9" s="665">
        <f t="shared" si="0"/>
        <v>100</v>
      </c>
      <c r="T9" s="664" t="s">
        <v>14</v>
      </c>
      <c r="U9" s="665">
        <f t="shared" si="1"/>
        <v>100</v>
      </c>
      <c r="V9" s="664" t="s">
        <v>14</v>
      </c>
      <c r="W9" s="665">
        <f t="shared" si="2"/>
        <v>100</v>
      </c>
      <c r="X9" s="666"/>
      <c r="Y9" s="330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297"/>
      <c r="Q10" s="530" t="str">
        <f t="shared" si="6"/>
        <v>土地使用年限（年）</v>
      </c>
      <c r="R10" s="664" t="s">
        <v>14</v>
      </c>
      <c r="S10" s="665" t="e">
        <f t="shared" si="0"/>
        <v>#DIV/0!</v>
      </c>
      <c r="T10" s="664" t="s">
        <v>14</v>
      </c>
      <c r="U10" s="665" t="e">
        <f t="shared" si="1"/>
        <v>#DIV/0!</v>
      </c>
      <c r="V10" s="664" t="s">
        <v>14</v>
      </c>
      <c r="W10" s="665" t="e">
        <f t="shared" si="2"/>
        <v>#DIV/0!</v>
      </c>
      <c r="X10" s="666"/>
      <c r="Y10" s="3309"/>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297"/>
      <c r="Q11" s="530" t="str">
        <f t="shared" si="6"/>
        <v>容积率</v>
      </c>
      <c r="R11" s="664" t="s">
        <v>14</v>
      </c>
      <c r="S11" s="665" t="e">
        <f t="shared" si="0"/>
        <v>#N/A</v>
      </c>
      <c r="T11" s="664" t="s">
        <v>14</v>
      </c>
      <c r="U11" s="665" t="e">
        <f t="shared" si="1"/>
        <v>#N/A</v>
      </c>
      <c r="V11" s="664" t="s">
        <v>14</v>
      </c>
      <c r="W11" s="665" t="e">
        <f t="shared" si="2"/>
        <v>#N/A</v>
      </c>
      <c r="X11" s="666"/>
      <c r="Y11" s="330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297"/>
      <c r="Q12" s="530" t="str">
        <f t="shared" si="6"/>
        <v>配建</v>
      </c>
      <c r="R12" s="664" t="s">
        <v>14</v>
      </c>
      <c r="S12" s="665">
        <f t="shared" si="0"/>
        <v>100</v>
      </c>
      <c r="T12" s="664" t="s">
        <v>14</v>
      </c>
      <c r="U12" s="665">
        <f t="shared" si="1"/>
        <v>100</v>
      </c>
      <c r="V12" s="664" t="s">
        <v>14</v>
      </c>
      <c r="W12" s="665">
        <f t="shared" si="2"/>
        <v>100</v>
      </c>
      <c r="X12" s="666"/>
      <c r="Y12" s="330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297"/>
      <c r="Q13" s="530">
        <f t="shared" si="6"/>
        <v>111</v>
      </c>
      <c r="R13" s="664" t="s">
        <v>14</v>
      </c>
      <c r="S13" s="665">
        <f t="shared" si="0"/>
        <v>100</v>
      </c>
      <c r="T13" s="664" t="s">
        <v>14</v>
      </c>
      <c r="U13" s="665">
        <f t="shared" si="1"/>
        <v>100</v>
      </c>
      <c r="V13" s="664" t="s">
        <v>14</v>
      </c>
      <c r="W13" s="665">
        <f t="shared" si="2"/>
        <v>100</v>
      </c>
      <c r="X13" s="666"/>
      <c r="Y13" s="3309"/>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297"/>
      <c r="Q14" s="530">
        <f t="shared" si="6"/>
        <v>111</v>
      </c>
      <c r="R14" s="664" t="s">
        <v>14</v>
      </c>
      <c r="S14" s="665">
        <f t="shared" si="0"/>
        <v>100</v>
      </c>
      <c r="T14" s="664" t="s">
        <v>14</v>
      </c>
      <c r="U14" s="665">
        <f t="shared" si="1"/>
        <v>100</v>
      </c>
      <c r="V14" s="664" t="s">
        <v>14</v>
      </c>
      <c r="W14" s="665">
        <f t="shared" si="2"/>
        <v>100</v>
      </c>
      <c r="X14" s="666"/>
      <c r="Y14" s="3309"/>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299" t="s">
        <v>1691</v>
      </c>
      <c r="Q15" s="1263" t="str">
        <f t="shared" si="6"/>
        <v>居住社区成熟度</v>
      </c>
      <c r="R15" s="667" t="s">
        <v>14</v>
      </c>
      <c r="S15" s="668">
        <f t="shared" si="0"/>
        <v>100</v>
      </c>
      <c r="T15" s="667" t="s">
        <v>14</v>
      </c>
      <c r="U15" s="668">
        <f t="shared" si="1"/>
        <v>100</v>
      </c>
      <c r="V15" s="667" t="s">
        <v>14</v>
      </c>
      <c r="W15" s="668">
        <f t="shared" si="2"/>
        <v>100</v>
      </c>
      <c r="X15" s="1265"/>
      <c r="Y15" s="329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00"/>
      <c r="Q16" s="1263"/>
      <c r="R16" s="667"/>
      <c r="S16" s="668"/>
      <c r="T16" s="667"/>
      <c r="U16" s="668"/>
      <c r="V16" s="667"/>
      <c r="W16" s="668"/>
      <c r="X16" s="1265"/>
      <c r="Y16" s="3300"/>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00"/>
      <c r="Q17" s="1263" t="str">
        <f>B17</f>
        <v>商业繁华度</v>
      </c>
      <c r="R17" s="667" t="s">
        <v>14</v>
      </c>
      <c r="S17" s="668">
        <f>F17</f>
        <v>100</v>
      </c>
      <c r="T17" s="667" t="s">
        <v>14</v>
      </c>
      <c r="U17" s="668">
        <f>H17</f>
        <v>100</v>
      </c>
      <c r="V17" s="667" t="s">
        <v>14</v>
      </c>
      <c r="W17" s="668">
        <f>J17</f>
        <v>100</v>
      </c>
      <c r="X17" s="1265"/>
      <c r="Y17" s="330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00"/>
      <c r="Q18" s="1263"/>
      <c r="R18" s="667"/>
      <c r="S18" s="668"/>
      <c r="T18" s="667"/>
      <c r="U18" s="668"/>
      <c r="V18" s="667"/>
      <c r="W18" s="668"/>
      <c r="X18" s="1265"/>
      <c r="Y18" s="3300"/>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00"/>
      <c r="Q19" s="1263" t="str">
        <f>B19</f>
        <v>办公集聚程度</v>
      </c>
      <c r="R19" s="667" t="s">
        <v>14</v>
      </c>
      <c r="S19" s="668">
        <f>F19</f>
        <v>100</v>
      </c>
      <c r="T19" s="667" t="s">
        <v>14</v>
      </c>
      <c r="U19" s="668">
        <f>H19</f>
        <v>100</v>
      </c>
      <c r="V19" s="667" t="s">
        <v>14</v>
      </c>
      <c r="W19" s="668">
        <f>J19</f>
        <v>100</v>
      </c>
      <c r="X19" s="1265"/>
      <c r="Y19" s="330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00"/>
      <c r="Q20" s="1263"/>
      <c r="R20" s="667"/>
      <c r="S20" s="668"/>
      <c r="T20" s="667"/>
      <c r="U20" s="668"/>
      <c r="V20" s="667"/>
      <c r="W20" s="668"/>
      <c r="X20" s="1265"/>
      <c r="Y20" s="3300"/>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00"/>
      <c r="Q21" s="1263" t="str">
        <f>B21</f>
        <v>交通便捷度</v>
      </c>
      <c r="R21" s="667" t="s">
        <v>14</v>
      </c>
      <c r="S21" s="668">
        <f>F21</f>
        <v>100</v>
      </c>
      <c r="T21" s="667" t="s">
        <v>14</v>
      </c>
      <c r="U21" s="668">
        <f>H21</f>
        <v>100</v>
      </c>
      <c r="V21" s="667" t="s">
        <v>14</v>
      </c>
      <c r="W21" s="668">
        <f>J21</f>
        <v>100</v>
      </c>
      <c r="X21" s="1265"/>
      <c r="Y21" s="330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00"/>
      <c r="Q22" s="1263"/>
      <c r="R22" s="667"/>
      <c r="S22" s="668"/>
      <c r="T22" s="667"/>
      <c r="U22" s="668"/>
      <c r="V22" s="667"/>
      <c r="W22" s="668"/>
      <c r="X22" s="1265"/>
      <c r="Y22" s="3300"/>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00"/>
      <c r="Q23" s="1263" t="str">
        <f t="shared" ref="Q23:Q37" si="8">B23</f>
        <v>区域土地利用方向</v>
      </c>
      <c r="R23" s="667" t="s">
        <v>14</v>
      </c>
      <c r="S23" s="668">
        <f>F23</f>
        <v>100</v>
      </c>
      <c r="T23" s="667" t="s">
        <v>14</v>
      </c>
      <c r="U23" s="668">
        <f>H23</f>
        <v>100</v>
      </c>
      <c r="V23" s="667" t="s">
        <v>14</v>
      </c>
      <c r="W23" s="668">
        <f>J23</f>
        <v>100</v>
      </c>
      <c r="X23" s="1265"/>
      <c r="Y23" s="330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00"/>
      <c r="Q24" s="1263"/>
      <c r="R24" s="667"/>
      <c r="S24" s="668"/>
      <c r="T24" s="667"/>
      <c r="U24" s="668"/>
      <c r="V24" s="667"/>
      <c r="W24" s="668"/>
      <c r="X24" s="1265"/>
      <c r="Y24" s="3300"/>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00"/>
      <c r="Q25" s="1263" t="str">
        <f t="shared" si="8"/>
        <v>自然及人文环境状况</v>
      </c>
      <c r="R25" s="667" t="s">
        <v>14</v>
      </c>
      <c r="S25" s="668">
        <f>F25</f>
        <v>100</v>
      </c>
      <c r="T25" s="667" t="s">
        <v>14</v>
      </c>
      <c r="U25" s="668">
        <f>H25</f>
        <v>100</v>
      </c>
      <c r="V25" s="667" t="s">
        <v>14</v>
      </c>
      <c r="W25" s="668">
        <f>J25</f>
        <v>100</v>
      </c>
      <c r="X25" s="1265"/>
      <c r="Y25" s="330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00"/>
      <c r="Q26" s="1263"/>
      <c r="R26" s="667"/>
      <c r="S26" s="668"/>
      <c r="T26" s="667"/>
      <c r="U26" s="668"/>
      <c r="V26" s="667"/>
      <c r="W26" s="668"/>
      <c r="X26" s="1265"/>
      <c r="Y26" s="3300"/>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00"/>
      <c r="Q27" s="530" t="str">
        <f t="shared" si="8"/>
        <v>公共配套设施</v>
      </c>
      <c r="R27" s="664" t="s">
        <v>14</v>
      </c>
      <c r="S27" s="665">
        <f>F27</f>
        <v>100</v>
      </c>
      <c r="T27" s="664" t="s">
        <v>14</v>
      </c>
      <c r="U27" s="665">
        <f>H27</f>
        <v>100</v>
      </c>
      <c r="V27" s="664" t="s">
        <v>14</v>
      </c>
      <c r="W27" s="665">
        <f>J27</f>
        <v>100</v>
      </c>
      <c r="X27" s="666"/>
      <c r="Y27" s="330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00"/>
      <c r="Q28" s="530"/>
      <c r="R28" s="664"/>
      <c r="S28" s="665"/>
      <c r="T28" s="664"/>
      <c r="U28" s="665"/>
      <c r="V28" s="664"/>
      <c r="W28" s="665"/>
      <c r="X28" s="666"/>
      <c r="Y28" s="3300"/>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00"/>
      <c r="Q29" s="530" t="str">
        <f t="shared" ref="Q29" si="9">B29</f>
        <v>基础设施水平</v>
      </c>
      <c r="R29" s="664" t="s">
        <v>14</v>
      </c>
      <c r="S29" s="665">
        <f>F29</f>
        <v>100</v>
      </c>
      <c r="T29" s="664" t="s">
        <v>14</v>
      </c>
      <c r="U29" s="665">
        <f>H29</f>
        <v>100</v>
      </c>
      <c r="V29" s="664" t="s">
        <v>14</v>
      </c>
      <c r="W29" s="665">
        <f>J29</f>
        <v>100</v>
      </c>
      <c r="X29" s="666"/>
      <c r="Y29" s="330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00"/>
      <c r="Q30" s="530"/>
      <c r="R30" s="664"/>
      <c r="S30" s="665"/>
      <c r="T30" s="664"/>
      <c r="U30" s="665"/>
      <c r="V30" s="664"/>
      <c r="W30" s="665"/>
      <c r="X30" s="666"/>
      <c r="Y30" s="330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0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00"/>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00"/>
      <c r="Q32" s="1263" t="str">
        <f t="shared" si="8"/>
        <v>毗邻道路的类型与等级</v>
      </c>
      <c r="R32" s="667" t="s">
        <v>14</v>
      </c>
      <c r="S32" s="668">
        <f t="shared" si="10"/>
        <v>100</v>
      </c>
      <c r="T32" s="667" t="s">
        <v>14</v>
      </c>
      <c r="U32" s="668">
        <f t="shared" si="11"/>
        <v>100</v>
      </c>
      <c r="V32" s="667" t="s">
        <v>14</v>
      </c>
      <c r="W32" s="668">
        <f t="shared" si="12"/>
        <v>100</v>
      </c>
      <c r="X32" s="1265"/>
      <c r="Y32" s="330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00"/>
      <c r="Q33" s="1263"/>
      <c r="R33" s="667"/>
      <c r="S33" s="668"/>
      <c r="T33" s="667"/>
      <c r="U33" s="668"/>
      <c r="V33" s="667"/>
      <c r="W33" s="668"/>
      <c r="X33" s="1265"/>
      <c r="Y33" s="330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00"/>
      <c r="Q34" s="1263" t="str">
        <f t="shared" si="8"/>
        <v>土地级别</v>
      </c>
      <c r="R34" s="667" t="s">
        <v>14</v>
      </c>
      <c r="S34" s="668">
        <f t="shared" si="10"/>
        <v>100</v>
      </c>
      <c r="T34" s="667" t="s">
        <v>14</v>
      </c>
      <c r="U34" s="668">
        <f t="shared" si="11"/>
        <v>100</v>
      </c>
      <c r="V34" s="667" t="s">
        <v>14</v>
      </c>
      <c r="W34" s="668">
        <f t="shared" si="12"/>
        <v>100</v>
      </c>
      <c r="X34" s="1265"/>
      <c r="Y34" s="330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00"/>
      <c r="Q35" s="1263">
        <f t="shared" si="8"/>
        <v>111</v>
      </c>
      <c r="R35" s="667" t="s">
        <v>14</v>
      </c>
      <c r="S35" s="668">
        <f t="shared" si="10"/>
        <v>100</v>
      </c>
      <c r="T35" s="667" t="s">
        <v>14</v>
      </c>
      <c r="U35" s="668">
        <f t="shared" si="11"/>
        <v>100</v>
      </c>
      <c r="V35" s="667" t="s">
        <v>14</v>
      </c>
      <c r="W35" s="668">
        <f t="shared" si="12"/>
        <v>100</v>
      </c>
      <c r="X35" s="1265"/>
      <c r="Y35" s="330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355" t="s">
        <v>1696</v>
      </c>
      <c r="Q36" s="1263">
        <f t="shared" si="8"/>
        <v>111</v>
      </c>
      <c r="R36" s="667" t="s">
        <v>14</v>
      </c>
      <c r="S36" s="668">
        <f t="shared" si="10"/>
        <v>100</v>
      </c>
      <c r="T36" s="667" t="s">
        <v>14</v>
      </c>
      <c r="U36" s="668">
        <f t="shared" si="11"/>
        <v>100</v>
      </c>
      <c r="V36" s="667" t="s">
        <v>14</v>
      </c>
      <c r="W36" s="668">
        <f t="shared" si="12"/>
        <v>100</v>
      </c>
      <c r="X36" s="1265"/>
      <c r="Y36" s="3304"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04"/>
      <c r="Q37" s="1263">
        <f t="shared" si="8"/>
        <v>111</v>
      </c>
      <c r="R37" s="669" t="s">
        <v>14</v>
      </c>
      <c r="S37" s="670">
        <f t="shared" si="10"/>
        <v>100</v>
      </c>
      <c r="T37" s="669" t="s">
        <v>14</v>
      </c>
      <c r="U37" s="670">
        <f t="shared" si="11"/>
        <v>100</v>
      </c>
      <c r="V37" s="669" t="s">
        <v>14</v>
      </c>
      <c r="W37" s="670">
        <f t="shared" si="12"/>
        <v>100</v>
      </c>
      <c r="X37" s="671"/>
      <c r="Y37" s="3304"/>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04"/>
      <c r="Q38" s="1263" t="str">
        <f>B38</f>
        <v>宗地面积</v>
      </c>
      <c r="R38" s="667" t="s">
        <v>14</v>
      </c>
      <c r="S38" s="668" t="e">
        <f t="shared" si="10"/>
        <v>#N/A</v>
      </c>
      <c r="T38" s="667" t="s">
        <v>14</v>
      </c>
      <c r="U38" s="668" t="e">
        <f t="shared" si="11"/>
        <v>#N/A</v>
      </c>
      <c r="V38" s="667" t="s">
        <v>14</v>
      </c>
      <c r="W38" s="668" t="e">
        <f t="shared" si="12"/>
        <v>#N/A</v>
      </c>
      <c r="X38" s="1265"/>
      <c r="Y38" s="330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04"/>
      <c r="Q39" s="1263" t="str">
        <f t="shared" ref="Q39:Q45" si="14">B39</f>
        <v>宗地形状</v>
      </c>
      <c r="R39" s="667" t="s">
        <v>14</v>
      </c>
      <c r="S39" s="668">
        <f t="shared" si="10"/>
        <v>100</v>
      </c>
      <c r="T39" s="667" t="s">
        <v>14</v>
      </c>
      <c r="U39" s="668">
        <f t="shared" si="11"/>
        <v>100</v>
      </c>
      <c r="V39" s="667" t="s">
        <v>14</v>
      </c>
      <c r="W39" s="668">
        <f t="shared" si="12"/>
        <v>100</v>
      </c>
      <c r="X39" s="1265"/>
      <c r="Y39" s="330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04"/>
      <c r="Q40" s="1263" t="str">
        <f t="shared" si="14"/>
        <v>临街宽度及深度</v>
      </c>
      <c r="R40" s="667" t="s">
        <v>14</v>
      </c>
      <c r="S40" s="668">
        <f t="shared" si="10"/>
        <v>100</v>
      </c>
      <c r="T40" s="667" t="s">
        <v>14</v>
      </c>
      <c r="U40" s="668">
        <f t="shared" si="11"/>
        <v>100</v>
      </c>
      <c r="V40" s="667" t="s">
        <v>14</v>
      </c>
      <c r="W40" s="668">
        <f t="shared" si="12"/>
        <v>100</v>
      </c>
      <c r="X40" s="1265"/>
      <c r="Y40" s="330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04"/>
      <c r="Q41" s="1263" t="str">
        <f t="shared" si="14"/>
        <v>宗地开发程度</v>
      </c>
      <c r="R41" s="664" t="s">
        <v>14</v>
      </c>
      <c r="S41" s="665">
        <f t="shared" si="10"/>
        <v>100</v>
      </c>
      <c r="T41" s="664" t="s">
        <v>14</v>
      </c>
      <c r="U41" s="665">
        <f t="shared" si="11"/>
        <v>100</v>
      </c>
      <c r="V41" s="664" t="s">
        <v>14</v>
      </c>
      <c r="W41" s="665">
        <f t="shared" si="12"/>
        <v>100</v>
      </c>
      <c r="X41" s="666"/>
      <c r="Y41" s="330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04" t="s">
        <v>1696</v>
      </c>
      <c r="Q42" s="1263" t="str">
        <f t="shared" si="14"/>
        <v>工程地质条件</v>
      </c>
      <c r="R42" s="667" t="s">
        <v>14</v>
      </c>
      <c r="S42" s="668">
        <f t="shared" si="10"/>
        <v>100</v>
      </c>
      <c r="T42" s="667" t="s">
        <v>14</v>
      </c>
      <c r="U42" s="668">
        <f t="shared" si="11"/>
        <v>100</v>
      </c>
      <c r="V42" s="667" t="s">
        <v>14</v>
      </c>
      <c r="W42" s="668">
        <f t="shared" si="12"/>
        <v>100</v>
      </c>
      <c r="X42" s="1265"/>
      <c r="Y42" s="330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04"/>
      <c r="Q43" s="1263">
        <f t="shared" si="14"/>
        <v>111</v>
      </c>
      <c r="R43" s="667" t="s">
        <v>14</v>
      </c>
      <c r="S43" s="668">
        <f t="shared" si="10"/>
        <v>100</v>
      </c>
      <c r="T43" s="667" t="s">
        <v>14</v>
      </c>
      <c r="U43" s="668">
        <f t="shared" si="11"/>
        <v>100</v>
      </c>
      <c r="V43" s="667" t="s">
        <v>14</v>
      </c>
      <c r="W43" s="668">
        <f t="shared" si="12"/>
        <v>100</v>
      </c>
      <c r="X43" s="1265"/>
      <c r="Y43" s="330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04"/>
      <c r="Q44" s="1263">
        <f t="shared" si="14"/>
        <v>111</v>
      </c>
      <c r="R44" s="667" t="s">
        <v>14</v>
      </c>
      <c r="S44" s="668">
        <f t="shared" si="10"/>
        <v>100</v>
      </c>
      <c r="T44" s="667" t="s">
        <v>14</v>
      </c>
      <c r="U44" s="668">
        <f t="shared" si="11"/>
        <v>100</v>
      </c>
      <c r="V44" s="667" t="s">
        <v>14</v>
      </c>
      <c r="W44" s="668">
        <f t="shared" si="12"/>
        <v>100</v>
      </c>
      <c r="X44" s="1265"/>
      <c r="Y44" s="3304"/>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04"/>
      <c r="Q45" s="1263">
        <f t="shared" si="14"/>
        <v>111</v>
      </c>
      <c r="R45" s="669" t="s">
        <v>14</v>
      </c>
      <c r="S45" s="670">
        <f t="shared" si="10"/>
        <v>100</v>
      </c>
      <c r="T45" s="669" t="s">
        <v>14</v>
      </c>
      <c r="U45" s="670">
        <f t="shared" si="11"/>
        <v>100</v>
      </c>
      <c r="V45" s="669" t="s">
        <v>14</v>
      </c>
      <c r="W45" s="670">
        <f t="shared" si="12"/>
        <v>100</v>
      </c>
      <c r="X45" s="671"/>
      <c r="Y45" s="3304"/>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5"/>
      <c r="M46" s="2488"/>
      <c r="N46" s="2488"/>
      <c r="O46" s="2488"/>
      <c r="P46" s="3297" t="str">
        <f>A46</f>
        <v>成交单价</v>
      </c>
      <c r="Q46" s="3297"/>
      <c r="R46" s="3298">
        <f>E46</f>
        <v>0</v>
      </c>
      <c r="S46" s="3298"/>
      <c r="T46" s="3298">
        <f>G46</f>
        <v>0</v>
      </c>
      <c r="U46" s="3298"/>
      <c r="V46" s="3298">
        <f>I46</f>
        <v>0</v>
      </c>
      <c r="W46" s="3298"/>
      <c r="X46" s="385"/>
      <c r="Y46" s="673"/>
      <c r="Z46" s="385"/>
      <c r="AA46" s="385"/>
      <c r="AB46" s="385"/>
      <c r="AC46" s="385"/>
    </row>
    <row r="47" spans="1:29" ht="15" thickBot="1">
      <c r="A47" s="423" t="s">
        <v>1793</v>
      </c>
      <c r="B47" s="603"/>
      <c r="C47" s="426" t="e">
        <f>R48</f>
        <v>#DIV/0!</v>
      </c>
      <c r="D47" s="2141" t="s">
        <v>2137</v>
      </c>
      <c r="E47" s="426" t="e">
        <f>R47</f>
        <v>#DIV/0!</v>
      </c>
      <c r="F47" s="2142"/>
      <c r="G47" s="425" t="e">
        <f>T47</f>
        <v>#DIV/0!</v>
      </c>
      <c r="H47" s="2142"/>
      <c r="I47" s="426" t="e">
        <f>V47</f>
        <v>#DIV/0!</v>
      </c>
      <c r="J47" s="2142"/>
      <c r="K47" s="2144">
        <f>F47+H47+J47</f>
        <v>0</v>
      </c>
      <c r="L47" s="2495"/>
      <c r="M47" s="2488"/>
      <c r="N47" s="2488"/>
      <c r="O47" s="2488"/>
      <c r="P47" s="3297" t="str">
        <f>A47</f>
        <v>比较价值（元/平方米）</v>
      </c>
      <c r="Q47" s="3297"/>
      <c r="R47" s="3357" t="e">
        <f>ROUND(PRODUCT(R46,AA7:AA45),0)</f>
        <v>#DIV/0!</v>
      </c>
      <c r="S47" s="3357"/>
      <c r="T47" s="3357" t="e">
        <f>ROUND(PRODUCT(T46,AB7:AB45),0)</f>
        <v>#DIV/0!</v>
      </c>
      <c r="U47" s="3357"/>
      <c r="V47" s="3357" t="e">
        <f>ROUND(PRODUCT(V46,AC7:AC45),0)</f>
        <v>#DIV/0!</v>
      </c>
      <c r="W47" s="3357"/>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5"/>
      <c r="M48" s="2488"/>
      <c r="N48" s="2488"/>
      <c r="O48" s="2488"/>
      <c r="P48" s="3294" t="str">
        <f>A48</f>
        <v>估价对象XX用房的比较价值（楼面单价，元/平方米）</v>
      </c>
      <c r="Q48" s="3295"/>
      <c r="R48" s="3358" t="e">
        <f>ROUND(IF(D47="简单平均",AVERAGE(R47:W47),R47*F47+T47*H47+V47*J47),0)</f>
        <v>#DIV/0!</v>
      </c>
      <c r="S48" s="3358"/>
      <c r="T48" s="3358"/>
      <c r="U48" s="3358"/>
      <c r="V48" s="3358"/>
      <c r="W48" s="335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4"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13" t="s">
        <v>1887</v>
      </c>
      <c r="H55" s="3359"/>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0</v>
      </c>
      <c r="F56" s="833" t="e">
        <f t="shared" ref="F56:F64" si="15">ROUND(B56*E56/10000,0)</f>
        <v>#DIV/0!</v>
      </c>
      <c r="G56" s="3308"/>
      <c r="H56" s="3297"/>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8"/>
      <c r="Q67" s="2488"/>
      <c r="R67" s="2488"/>
      <c r="S67" s="2488"/>
      <c r="T67" s="2488"/>
      <c r="U67" s="2488"/>
      <c r="V67" s="2488"/>
      <c r="W67" s="2488"/>
      <c r="X67" s="2488"/>
      <c r="Y67" s="2488"/>
      <c r="Z67" s="2488"/>
      <c r="AA67" s="2488"/>
      <c r="AB67" s="2488"/>
      <c r="AC67" s="2488"/>
    </row>
    <row r="68" spans="1:29" ht="22.2"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4"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9.4"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4"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4"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4"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4"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4"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4"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4"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ht="14.4">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9.4"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4"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4"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4"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4"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4"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4"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4"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4"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4"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4"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4"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4"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4"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13" t="s">
        <v>1770</v>
      </c>
      <c r="D4" s="3314"/>
      <c r="E4" s="3315" t="s">
        <v>1771</v>
      </c>
      <c r="F4" s="3316"/>
      <c r="G4" s="3313" t="s">
        <v>1772</v>
      </c>
      <c r="H4" s="3314"/>
      <c r="I4" s="3313" t="s">
        <v>1773</v>
      </c>
      <c r="J4" s="3314"/>
      <c r="K4" s="537" t="s">
        <v>1774</v>
      </c>
      <c r="L4" s="2487"/>
      <c r="M4" s="2488"/>
      <c r="N4" s="2488"/>
      <c r="O4" s="2488"/>
      <c r="P4" s="3317" t="s">
        <v>1775</v>
      </c>
      <c r="Q4" s="3318"/>
      <c r="R4" s="3323" t="s">
        <v>1771</v>
      </c>
      <c r="S4" s="3324"/>
      <c r="T4" s="3323" t="s">
        <v>1772</v>
      </c>
      <c r="U4" s="3324"/>
      <c r="V4" s="3298" t="s">
        <v>1773</v>
      </c>
      <c r="W4" s="3298"/>
      <c r="X4" s="1265"/>
      <c r="Y4" s="3323" t="s">
        <v>1775</v>
      </c>
      <c r="Z4" s="3324"/>
      <c r="AA4" s="3310" t="s">
        <v>1771</v>
      </c>
      <c r="AB4" s="3311" t="s">
        <v>1772</v>
      </c>
      <c r="AC4" s="3310" t="s">
        <v>1773</v>
      </c>
    </row>
    <row r="5" spans="1:29">
      <c r="A5" s="348"/>
      <c r="B5" s="349"/>
      <c r="C5" s="3331" t="s">
        <v>1673</v>
      </c>
      <c r="D5" s="3332"/>
      <c r="E5" s="3338" t="s">
        <v>1674</v>
      </c>
      <c r="F5" s="3339"/>
      <c r="G5" s="3331" t="s">
        <v>1675</v>
      </c>
      <c r="H5" s="3332"/>
      <c r="I5" s="3331" t="s">
        <v>1676</v>
      </c>
      <c r="J5" s="3332"/>
      <c r="K5" s="537"/>
      <c r="L5" s="2487"/>
      <c r="M5" s="2488"/>
      <c r="N5" s="2488"/>
      <c r="O5" s="2488"/>
      <c r="P5" s="3319"/>
      <c r="Q5" s="3320"/>
      <c r="R5" s="3325"/>
      <c r="S5" s="3326"/>
      <c r="T5" s="3325"/>
      <c r="U5" s="3326"/>
      <c r="V5" s="3298"/>
      <c r="W5" s="3298"/>
      <c r="X5" s="1265"/>
      <c r="Y5" s="3325"/>
      <c r="Z5" s="3326"/>
      <c r="AA5" s="3311"/>
      <c r="AB5" s="3311"/>
      <c r="AC5" s="3311"/>
    </row>
    <row r="6" spans="1:29" ht="15" thickBot="1">
      <c r="A6" s="350"/>
      <c r="B6" s="351"/>
      <c r="C6" s="3360" t="s">
        <v>1919</v>
      </c>
      <c r="D6" s="3361"/>
      <c r="E6" s="3362" t="s">
        <v>1919</v>
      </c>
      <c r="F6" s="3363"/>
      <c r="G6" s="3360" t="s">
        <v>1919</v>
      </c>
      <c r="H6" s="3361"/>
      <c r="I6" s="3360" t="s">
        <v>1919</v>
      </c>
      <c r="J6" s="3361"/>
      <c r="K6" s="537" t="s">
        <v>1678</v>
      </c>
      <c r="L6" s="2487"/>
      <c r="M6" s="2488"/>
      <c r="N6" s="2488"/>
      <c r="O6" s="2488"/>
      <c r="P6" s="3321"/>
      <c r="Q6" s="3322"/>
      <c r="R6" s="3325"/>
      <c r="S6" s="3326"/>
      <c r="T6" s="3327"/>
      <c r="U6" s="3328"/>
      <c r="V6" s="3298"/>
      <c r="W6" s="3298"/>
      <c r="X6" s="1265"/>
      <c r="Y6" s="3327"/>
      <c r="Z6" s="3328"/>
      <c r="AA6" s="3312"/>
      <c r="AB6" s="3312"/>
      <c r="AC6" s="3312"/>
    </row>
    <row r="7" spans="1:29" s="102" customFormat="1" ht="15" thickBot="1">
      <c r="A7" s="352" t="s">
        <v>1679</v>
      </c>
      <c r="B7" s="353"/>
      <c r="C7" s="354">
        <f>'数据-取费表'!B2</f>
        <v>45845</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33" t="s">
        <v>1680</v>
      </c>
      <c r="Q7" s="3335"/>
      <c r="R7" s="664" t="s">
        <v>14</v>
      </c>
      <c r="S7" s="665">
        <f t="shared" ref="S7:S15" si="0">F7</f>
        <v>0</v>
      </c>
      <c r="T7" s="664" t="s">
        <v>14</v>
      </c>
      <c r="U7" s="665">
        <f t="shared" ref="U7:U15" si="1">H7</f>
        <v>0</v>
      </c>
      <c r="V7" s="664" t="s">
        <v>14</v>
      </c>
      <c r="W7" s="665">
        <f t="shared" ref="W7:W15" si="2">J7</f>
        <v>0</v>
      </c>
      <c r="X7" s="666"/>
      <c r="Y7" s="3333" t="s">
        <v>1680</v>
      </c>
      <c r="Z7" s="3334"/>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33" t="s">
        <v>1683</v>
      </c>
      <c r="Q8" s="3334"/>
      <c r="R8" s="664" t="s">
        <v>14</v>
      </c>
      <c r="S8" s="665">
        <f t="shared" si="0"/>
        <v>0</v>
      </c>
      <c r="T8" s="664" t="s">
        <v>14</v>
      </c>
      <c r="U8" s="665">
        <f t="shared" si="1"/>
        <v>0</v>
      </c>
      <c r="V8" s="664" t="s">
        <v>14</v>
      </c>
      <c r="W8" s="665">
        <f t="shared" si="2"/>
        <v>0</v>
      </c>
      <c r="X8" s="666"/>
      <c r="Y8" s="3333" t="s">
        <v>1683</v>
      </c>
      <c r="Z8" s="3334"/>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297" t="s">
        <v>1686</v>
      </c>
      <c r="Q9" s="530" t="str">
        <f t="shared" ref="Q9:Q15" si="6">B9</f>
        <v>用途</v>
      </c>
      <c r="R9" s="664" t="s">
        <v>14</v>
      </c>
      <c r="S9" s="665">
        <f t="shared" si="0"/>
        <v>100</v>
      </c>
      <c r="T9" s="664" t="s">
        <v>14</v>
      </c>
      <c r="U9" s="665">
        <f t="shared" si="1"/>
        <v>100</v>
      </c>
      <c r="V9" s="664" t="s">
        <v>14</v>
      </c>
      <c r="W9" s="665">
        <f t="shared" si="2"/>
        <v>100</v>
      </c>
      <c r="X9" s="666"/>
      <c r="Y9" s="330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297"/>
      <c r="Q10" s="530" t="str">
        <f t="shared" si="6"/>
        <v>土地使用年限（年）</v>
      </c>
      <c r="R10" s="664" t="s">
        <v>14</v>
      </c>
      <c r="S10" s="665" t="e">
        <f t="shared" si="0"/>
        <v>#DIV/0!</v>
      </c>
      <c r="T10" s="664" t="s">
        <v>14</v>
      </c>
      <c r="U10" s="665" t="e">
        <f t="shared" si="1"/>
        <v>#DIV/0!</v>
      </c>
      <c r="V10" s="664" t="s">
        <v>14</v>
      </c>
      <c r="W10" s="665" t="e">
        <f t="shared" si="2"/>
        <v>#DIV/0!</v>
      </c>
      <c r="X10" s="666"/>
      <c r="Y10" s="3309"/>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297"/>
      <c r="Q11" s="530" t="str">
        <f t="shared" si="6"/>
        <v>容积率</v>
      </c>
      <c r="R11" s="664" t="s">
        <v>14</v>
      </c>
      <c r="S11" s="665" t="e">
        <f t="shared" si="0"/>
        <v>#N/A</v>
      </c>
      <c r="T11" s="664" t="s">
        <v>14</v>
      </c>
      <c r="U11" s="665" t="e">
        <f t="shared" si="1"/>
        <v>#N/A</v>
      </c>
      <c r="V11" s="664" t="s">
        <v>14</v>
      </c>
      <c r="W11" s="665" t="e">
        <f t="shared" si="2"/>
        <v>#N/A</v>
      </c>
      <c r="X11" s="666"/>
      <c r="Y11" s="330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297"/>
      <c r="Q12" s="530">
        <f t="shared" si="6"/>
        <v>111</v>
      </c>
      <c r="R12" s="664" t="s">
        <v>14</v>
      </c>
      <c r="S12" s="665">
        <f t="shared" si="0"/>
        <v>100</v>
      </c>
      <c r="T12" s="664" t="s">
        <v>14</v>
      </c>
      <c r="U12" s="665">
        <f t="shared" si="1"/>
        <v>100</v>
      </c>
      <c r="V12" s="664" t="s">
        <v>14</v>
      </c>
      <c r="W12" s="665">
        <f t="shared" si="2"/>
        <v>100</v>
      </c>
      <c r="X12" s="666"/>
      <c r="Y12" s="330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297"/>
      <c r="Q13" s="530">
        <f t="shared" si="6"/>
        <v>111</v>
      </c>
      <c r="R13" s="664" t="s">
        <v>14</v>
      </c>
      <c r="S13" s="665">
        <f t="shared" si="0"/>
        <v>100</v>
      </c>
      <c r="T13" s="664" t="s">
        <v>14</v>
      </c>
      <c r="U13" s="665">
        <f t="shared" si="1"/>
        <v>100</v>
      </c>
      <c r="V13" s="664" t="s">
        <v>14</v>
      </c>
      <c r="W13" s="665">
        <f t="shared" si="2"/>
        <v>100</v>
      </c>
      <c r="X13" s="666"/>
      <c r="Y13" s="3309"/>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297"/>
      <c r="Q14" s="530">
        <f t="shared" si="6"/>
        <v>111</v>
      </c>
      <c r="R14" s="664" t="s">
        <v>14</v>
      </c>
      <c r="S14" s="665">
        <f t="shared" si="0"/>
        <v>100</v>
      </c>
      <c r="T14" s="664" t="s">
        <v>14</v>
      </c>
      <c r="U14" s="665">
        <f t="shared" si="1"/>
        <v>100</v>
      </c>
      <c r="V14" s="664" t="s">
        <v>14</v>
      </c>
      <c r="W14" s="665">
        <f t="shared" si="2"/>
        <v>100</v>
      </c>
      <c r="X14" s="666"/>
      <c r="Y14" s="3309"/>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299" t="s">
        <v>1691</v>
      </c>
      <c r="Q15" s="1263" t="str">
        <f t="shared" si="6"/>
        <v>产业集聚程度</v>
      </c>
      <c r="R15" s="667" t="s">
        <v>14</v>
      </c>
      <c r="S15" s="668">
        <f t="shared" si="0"/>
        <v>100</v>
      </c>
      <c r="T15" s="667" t="s">
        <v>14</v>
      </c>
      <c r="U15" s="668">
        <f t="shared" si="1"/>
        <v>100</v>
      </c>
      <c r="V15" s="667" t="s">
        <v>14</v>
      </c>
      <c r="W15" s="668">
        <f t="shared" si="2"/>
        <v>100</v>
      </c>
      <c r="X15" s="1265"/>
      <c r="Y15" s="329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00"/>
      <c r="Q16" s="1263"/>
      <c r="R16" s="667"/>
      <c r="S16" s="668"/>
      <c r="T16" s="667"/>
      <c r="U16" s="668"/>
      <c r="V16" s="667"/>
      <c r="W16" s="668"/>
      <c r="X16" s="1265"/>
      <c r="Y16" s="3300"/>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00"/>
      <c r="Q17" s="1263" t="str">
        <f>B17</f>
        <v>交通便捷度</v>
      </c>
      <c r="R17" s="667" t="s">
        <v>14</v>
      </c>
      <c r="S17" s="668">
        <f>F17</f>
        <v>100</v>
      </c>
      <c r="T17" s="667" t="s">
        <v>14</v>
      </c>
      <c r="U17" s="668">
        <f>H17</f>
        <v>100</v>
      </c>
      <c r="V17" s="667" t="s">
        <v>14</v>
      </c>
      <c r="W17" s="668">
        <f>J17</f>
        <v>100</v>
      </c>
      <c r="X17" s="1265"/>
      <c r="Y17" s="330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00"/>
      <c r="Q18" s="1263"/>
      <c r="R18" s="667"/>
      <c r="S18" s="668"/>
      <c r="T18" s="667"/>
      <c r="U18" s="668"/>
      <c r="V18" s="667"/>
      <c r="W18" s="668"/>
      <c r="X18" s="1265"/>
      <c r="Y18" s="3300"/>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00"/>
      <c r="Q19" s="1263" t="str">
        <f t="shared" ref="Q19:Q33" si="8">B19</f>
        <v>区域土地利用方向</v>
      </c>
      <c r="R19" s="667" t="s">
        <v>14</v>
      </c>
      <c r="S19" s="668">
        <f>F19</f>
        <v>100</v>
      </c>
      <c r="T19" s="667" t="s">
        <v>14</v>
      </c>
      <c r="U19" s="668">
        <f>H19</f>
        <v>100</v>
      </c>
      <c r="V19" s="667" t="s">
        <v>14</v>
      </c>
      <c r="W19" s="668">
        <f>J19</f>
        <v>100</v>
      </c>
      <c r="X19" s="1265"/>
      <c r="Y19" s="330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00"/>
      <c r="Q20" s="1263"/>
      <c r="R20" s="667"/>
      <c r="S20" s="668"/>
      <c r="T20" s="667"/>
      <c r="U20" s="668"/>
      <c r="V20" s="667"/>
      <c r="W20" s="668"/>
      <c r="X20" s="1265"/>
      <c r="Y20" s="3300"/>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00"/>
      <c r="Q21" s="1263" t="str">
        <f t="shared" si="8"/>
        <v>环境状况</v>
      </c>
      <c r="R21" s="667" t="s">
        <v>14</v>
      </c>
      <c r="S21" s="668">
        <f>F21</f>
        <v>100</v>
      </c>
      <c r="T21" s="667" t="s">
        <v>14</v>
      </c>
      <c r="U21" s="668">
        <f>H21</f>
        <v>100</v>
      </c>
      <c r="V21" s="667" t="s">
        <v>14</v>
      </c>
      <c r="W21" s="668">
        <f>J21</f>
        <v>100</v>
      </c>
      <c r="X21" s="1265"/>
      <c r="Y21" s="330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00"/>
      <c r="Q22" s="1263"/>
      <c r="R22" s="667"/>
      <c r="S22" s="668"/>
      <c r="T22" s="667"/>
      <c r="U22" s="668"/>
      <c r="V22" s="667"/>
      <c r="W22" s="668"/>
      <c r="X22" s="1265"/>
      <c r="Y22" s="3300"/>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00"/>
      <c r="Q23" s="530" t="str">
        <f t="shared" si="8"/>
        <v>公共配套设施</v>
      </c>
      <c r="R23" s="664" t="s">
        <v>14</v>
      </c>
      <c r="S23" s="665">
        <f>F23</f>
        <v>100</v>
      </c>
      <c r="T23" s="664" t="s">
        <v>14</v>
      </c>
      <c r="U23" s="665">
        <f>H23</f>
        <v>100</v>
      </c>
      <c r="V23" s="664" t="s">
        <v>14</v>
      </c>
      <c r="W23" s="665">
        <f>J23</f>
        <v>100</v>
      </c>
      <c r="X23" s="666"/>
      <c r="Y23" s="330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00"/>
      <c r="Q24" s="530"/>
      <c r="R24" s="664"/>
      <c r="S24" s="665"/>
      <c r="T24" s="664"/>
      <c r="U24" s="665"/>
      <c r="V24" s="664"/>
      <c r="W24" s="665"/>
      <c r="X24" s="666"/>
      <c r="Y24" s="3300"/>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00"/>
      <c r="Q25" s="530" t="str">
        <f t="shared" ref="Q25" si="9">B25</f>
        <v>基础设施水平</v>
      </c>
      <c r="R25" s="664" t="s">
        <v>14</v>
      </c>
      <c r="S25" s="665">
        <f>F25</f>
        <v>100</v>
      </c>
      <c r="T25" s="664" t="s">
        <v>14</v>
      </c>
      <c r="U25" s="665">
        <f>H25</f>
        <v>100</v>
      </c>
      <c r="V25" s="664" t="s">
        <v>14</v>
      </c>
      <c r="W25" s="665">
        <f>J25</f>
        <v>100</v>
      </c>
      <c r="X25" s="666"/>
      <c r="Y25" s="330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00"/>
      <c r="Q26" s="530"/>
      <c r="R26" s="664"/>
      <c r="S26" s="665"/>
      <c r="T26" s="664"/>
      <c r="U26" s="665"/>
      <c r="V26" s="664"/>
      <c r="W26" s="665"/>
      <c r="X26" s="666"/>
      <c r="Y26" s="330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0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00"/>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00"/>
      <c r="Q28" s="1263" t="str">
        <f t="shared" si="8"/>
        <v>毗邻道路的类型与等级</v>
      </c>
      <c r="R28" s="667" t="s">
        <v>14</v>
      </c>
      <c r="S28" s="668">
        <f t="shared" si="10"/>
        <v>100</v>
      </c>
      <c r="T28" s="667" t="s">
        <v>14</v>
      </c>
      <c r="U28" s="668">
        <f t="shared" si="11"/>
        <v>100</v>
      </c>
      <c r="V28" s="667" t="s">
        <v>14</v>
      </c>
      <c r="W28" s="668">
        <f t="shared" si="12"/>
        <v>100</v>
      </c>
      <c r="X28" s="1265"/>
      <c r="Y28" s="330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00"/>
      <c r="Q29" s="1263"/>
      <c r="R29" s="667"/>
      <c r="S29" s="668"/>
      <c r="T29" s="667"/>
      <c r="U29" s="668"/>
      <c r="V29" s="667"/>
      <c r="W29" s="668"/>
      <c r="X29" s="1265"/>
      <c r="Y29" s="330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00"/>
      <c r="Q30" s="1263" t="str">
        <f t="shared" si="8"/>
        <v>土地级别</v>
      </c>
      <c r="R30" s="667" t="s">
        <v>14</v>
      </c>
      <c r="S30" s="668">
        <f t="shared" si="10"/>
        <v>100</v>
      </c>
      <c r="T30" s="667" t="s">
        <v>14</v>
      </c>
      <c r="U30" s="668">
        <f t="shared" si="11"/>
        <v>100</v>
      </c>
      <c r="V30" s="667" t="s">
        <v>14</v>
      </c>
      <c r="W30" s="668">
        <f t="shared" si="12"/>
        <v>100</v>
      </c>
      <c r="X30" s="1265"/>
      <c r="Y30" s="330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00"/>
      <c r="Q31" s="1263">
        <f t="shared" si="8"/>
        <v>111</v>
      </c>
      <c r="R31" s="667" t="s">
        <v>14</v>
      </c>
      <c r="S31" s="668">
        <f t="shared" si="10"/>
        <v>100</v>
      </c>
      <c r="T31" s="667" t="s">
        <v>14</v>
      </c>
      <c r="U31" s="668">
        <f t="shared" si="11"/>
        <v>100</v>
      </c>
      <c r="V31" s="667" t="s">
        <v>14</v>
      </c>
      <c r="W31" s="668">
        <f t="shared" si="12"/>
        <v>100</v>
      </c>
      <c r="X31" s="1265"/>
      <c r="Y31" s="330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355" t="s">
        <v>1696</v>
      </c>
      <c r="Q32" s="1263">
        <f t="shared" si="8"/>
        <v>111</v>
      </c>
      <c r="R32" s="667" t="s">
        <v>14</v>
      </c>
      <c r="S32" s="668">
        <f t="shared" si="10"/>
        <v>100</v>
      </c>
      <c r="T32" s="667" t="s">
        <v>14</v>
      </c>
      <c r="U32" s="668">
        <f t="shared" si="11"/>
        <v>100</v>
      </c>
      <c r="V32" s="667" t="s">
        <v>14</v>
      </c>
      <c r="W32" s="668">
        <f t="shared" si="12"/>
        <v>100</v>
      </c>
      <c r="X32" s="1265"/>
      <c r="Y32" s="3304"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04"/>
      <c r="Q33" s="1263">
        <f t="shared" si="8"/>
        <v>111</v>
      </c>
      <c r="R33" s="669" t="s">
        <v>14</v>
      </c>
      <c r="S33" s="670">
        <f t="shared" si="10"/>
        <v>100</v>
      </c>
      <c r="T33" s="669" t="s">
        <v>14</v>
      </c>
      <c r="U33" s="670">
        <f t="shared" si="11"/>
        <v>100</v>
      </c>
      <c r="V33" s="669" t="s">
        <v>14</v>
      </c>
      <c r="W33" s="670">
        <f t="shared" si="12"/>
        <v>100</v>
      </c>
      <c r="X33" s="671"/>
      <c r="Y33" s="330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04"/>
      <c r="Q34" s="1263" t="str">
        <f>B34</f>
        <v>宗地面积</v>
      </c>
      <c r="R34" s="667" t="s">
        <v>14</v>
      </c>
      <c r="S34" s="668" t="e">
        <f t="shared" si="10"/>
        <v>#N/A</v>
      </c>
      <c r="T34" s="667" t="s">
        <v>14</v>
      </c>
      <c r="U34" s="668" t="e">
        <f t="shared" si="11"/>
        <v>#N/A</v>
      </c>
      <c r="V34" s="667" t="s">
        <v>14</v>
      </c>
      <c r="W34" s="668" t="e">
        <f t="shared" si="12"/>
        <v>#N/A</v>
      </c>
      <c r="X34" s="1265"/>
      <c r="Y34" s="330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04"/>
      <c r="Q35" s="1263" t="str">
        <f t="shared" ref="Q35:Q40" si="14">B35</f>
        <v>宗地形状</v>
      </c>
      <c r="R35" s="667" t="s">
        <v>14</v>
      </c>
      <c r="S35" s="668">
        <f t="shared" si="10"/>
        <v>100</v>
      </c>
      <c r="T35" s="667" t="s">
        <v>14</v>
      </c>
      <c r="U35" s="668">
        <f t="shared" si="11"/>
        <v>100</v>
      </c>
      <c r="V35" s="667" t="s">
        <v>14</v>
      </c>
      <c r="W35" s="668">
        <f t="shared" si="12"/>
        <v>100</v>
      </c>
      <c r="X35" s="1265"/>
      <c r="Y35" s="330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04"/>
      <c r="Q36" s="1263" t="str">
        <f t="shared" si="14"/>
        <v>宗地开发程度</v>
      </c>
      <c r="R36" s="664" t="s">
        <v>14</v>
      </c>
      <c r="S36" s="665">
        <f t="shared" si="10"/>
        <v>100</v>
      </c>
      <c r="T36" s="664" t="s">
        <v>14</v>
      </c>
      <c r="U36" s="665">
        <f t="shared" si="11"/>
        <v>100</v>
      </c>
      <c r="V36" s="664" t="s">
        <v>14</v>
      </c>
      <c r="W36" s="665">
        <f t="shared" si="12"/>
        <v>100</v>
      </c>
      <c r="X36" s="666"/>
      <c r="Y36" s="330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04" t="s">
        <v>1696</v>
      </c>
      <c r="Q37" s="1263" t="str">
        <f t="shared" si="14"/>
        <v>工程地质条件</v>
      </c>
      <c r="R37" s="667" t="s">
        <v>14</v>
      </c>
      <c r="S37" s="668">
        <f t="shared" si="10"/>
        <v>100</v>
      </c>
      <c r="T37" s="667" t="s">
        <v>14</v>
      </c>
      <c r="U37" s="668">
        <f t="shared" si="11"/>
        <v>100</v>
      </c>
      <c r="V37" s="667" t="s">
        <v>14</v>
      </c>
      <c r="W37" s="668">
        <f t="shared" si="12"/>
        <v>100</v>
      </c>
      <c r="X37" s="1265"/>
      <c r="Y37" s="330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04"/>
      <c r="Q38" s="1263">
        <f t="shared" si="14"/>
        <v>111</v>
      </c>
      <c r="R38" s="667" t="s">
        <v>14</v>
      </c>
      <c r="S38" s="668">
        <f t="shared" si="10"/>
        <v>100</v>
      </c>
      <c r="T38" s="667" t="s">
        <v>14</v>
      </c>
      <c r="U38" s="668">
        <f t="shared" si="11"/>
        <v>100</v>
      </c>
      <c r="V38" s="667" t="s">
        <v>14</v>
      </c>
      <c r="W38" s="668">
        <f t="shared" si="12"/>
        <v>100</v>
      </c>
      <c r="X38" s="1265"/>
      <c r="Y38" s="330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04"/>
      <c r="Q39" s="1263">
        <f t="shared" si="14"/>
        <v>111</v>
      </c>
      <c r="R39" s="667" t="s">
        <v>14</v>
      </c>
      <c r="S39" s="668">
        <f t="shared" si="10"/>
        <v>100</v>
      </c>
      <c r="T39" s="667" t="s">
        <v>14</v>
      </c>
      <c r="U39" s="668">
        <f t="shared" si="11"/>
        <v>100</v>
      </c>
      <c r="V39" s="667" t="s">
        <v>14</v>
      </c>
      <c r="W39" s="668">
        <f t="shared" si="12"/>
        <v>100</v>
      </c>
      <c r="X39" s="1265"/>
      <c r="Y39" s="3304"/>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04"/>
      <c r="Q40" s="1263">
        <f t="shared" si="14"/>
        <v>111</v>
      </c>
      <c r="R40" s="669" t="s">
        <v>14</v>
      </c>
      <c r="S40" s="670">
        <f t="shared" si="10"/>
        <v>100</v>
      </c>
      <c r="T40" s="669" t="s">
        <v>14</v>
      </c>
      <c r="U40" s="670">
        <f t="shared" si="11"/>
        <v>100</v>
      </c>
      <c r="V40" s="669" t="s">
        <v>14</v>
      </c>
      <c r="W40" s="670">
        <f t="shared" si="12"/>
        <v>100</v>
      </c>
      <c r="X40" s="671"/>
      <c r="Y40" s="3304"/>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5"/>
      <c r="M41" s="2488"/>
      <c r="N41" s="2488"/>
      <c r="O41" s="2488"/>
      <c r="P41" s="3297" t="str">
        <f>A41</f>
        <v>成交单价</v>
      </c>
      <c r="Q41" s="3297"/>
      <c r="R41" s="3298">
        <f>E41</f>
        <v>0</v>
      </c>
      <c r="S41" s="3298"/>
      <c r="T41" s="3298">
        <f>G41</f>
        <v>0</v>
      </c>
      <c r="U41" s="3298"/>
      <c r="V41" s="3298">
        <f>I41</f>
        <v>0</v>
      </c>
      <c r="W41" s="3298"/>
      <c r="X41" s="385"/>
      <c r="Y41" s="673"/>
      <c r="Z41" s="385"/>
      <c r="AA41" s="385"/>
      <c r="AB41" s="385"/>
      <c r="AC41" s="385"/>
    </row>
    <row r="42" spans="1:31" ht="15" thickBot="1">
      <c r="A42" s="423" t="s">
        <v>1793</v>
      </c>
      <c r="B42" s="603"/>
      <c r="C42" s="426" t="e">
        <f>R43</f>
        <v>#DIV/0!</v>
      </c>
      <c r="D42" s="2141" t="s">
        <v>2137</v>
      </c>
      <c r="E42" s="426" t="e">
        <f>R42</f>
        <v>#DIV/0!</v>
      </c>
      <c r="F42" s="2142"/>
      <c r="G42" s="425" t="e">
        <f>T42</f>
        <v>#DIV/0!</v>
      </c>
      <c r="H42" s="2142"/>
      <c r="I42" s="426" t="e">
        <f>V42</f>
        <v>#DIV/0!</v>
      </c>
      <c r="J42" s="2142"/>
      <c r="K42" s="2144">
        <f>F42+H42+J42</f>
        <v>0</v>
      </c>
      <c r="L42" s="2495"/>
      <c r="M42" s="2488"/>
      <c r="N42" s="2488"/>
      <c r="O42" s="2488"/>
      <c r="P42" s="3297" t="str">
        <f>A42</f>
        <v>比较价值（元/平方米）</v>
      </c>
      <c r="Q42" s="3297"/>
      <c r="R42" s="3357" t="e">
        <f>ROUND(PRODUCT(R41,AA7:AA40),0)</f>
        <v>#DIV/0!</v>
      </c>
      <c r="S42" s="3357"/>
      <c r="T42" s="3357" t="e">
        <f>ROUND(PRODUCT(T41,AB7:AB40),0)</f>
        <v>#DIV/0!</v>
      </c>
      <c r="U42" s="3357"/>
      <c r="V42" s="3357" t="e">
        <f>ROUND(PRODUCT(V41,AC7:AC40),0)</f>
        <v>#DIV/0!</v>
      </c>
      <c r="W42" s="3357"/>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5"/>
      <c r="M43" s="2488"/>
      <c r="N43" s="2488"/>
      <c r="O43" s="2488"/>
      <c r="P43" s="3294" t="str">
        <f>A43</f>
        <v>估价对象XX用房的比较价值（楼面单价，元/平方米）</v>
      </c>
      <c r="Q43" s="3295"/>
      <c r="R43" s="3358" t="e">
        <f>ROUND(IF(D42="简单平均",AVERAGE(R42:W42),R42*F42+T42*H42+V42*J42),0)</f>
        <v>#DIV/0!</v>
      </c>
      <c r="S43" s="3358"/>
      <c r="T43" s="3358"/>
      <c r="U43" s="3358"/>
      <c r="V43" s="3358"/>
      <c r="W43" s="335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4"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8">
      <c r="A50" s="604" t="s">
        <v>1881</v>
      </c>
      <c r="B50" s="605" t="s">
        <v>1882</v>
      </c>
      <c r="C50" s="1831" t="s">
        <v>1883</v>
      </c>
      <c r="D50" s="1832" t="s">
        <v>1884</v>
      </c>
      <c r="E50" s="606" t="s">
        <v>1885</v>
      </c>
      <c r="F50" s="607" t="s">
        <v>1886</v>
      </c>
      <c r="G50" s="3313" t="s">
        <v>1887</v>
      </c>
      <c r="H50" s="3359"/>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0</v>
      </c>
      <c r="F51" s="611" t="e">
        <f t="shared" ref="F51:F60" si="15">ROUND(B51*E51/10000,0)</f>
        <v>#DIV/0!</v>
      </c>
      <c r="G51" s="3308"/>
      <c r="H51" s="3297"/>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4" thickBot="1">
      <c r="A61" s="615" t="s">
        <v>1903</v>
      </c>
      <c r="B61" s="616" t="s">
        <v>22</v>
      </c>
      <c r="C61" s="616" t="s">
        <v>23</v>
      </c>
      <c r="D61" s="616" t="s">
        <v>392</v>
      </c>
      <c r="E61" s="616" t="e">
        <f>IF(B41="楼面地价",SUM(E51:E60),'数据-汇总表'!D3)</f>
        <v>#DIV/0!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8"/>
      <c r="Q63" s="2488"/>
      <c r="R63" s="2488"/>
      <c r="S63" s="2488"/>
      <c r="T63" s="2488"/>
      <c r="U63" s="2488"/>
      <c r="V63" s="2488"/>
      <c r="W63" s="2488"/>
      <c r="X63" s="2488"/>
      <c r="Y63" s="2488"/>
      <c r="Z63" s="2488"/>
      <c r="AA63" s="2488"/>
      <c r="AB63" s="2488"/>
      <c r="AC63" s="2488"/>
      <c r="AD63" s="2488"/>
      <c r="AE63" s="2488"/>
    </row>
    <row r="64" spans="1:31" ht="22.2"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4"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9.4"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4"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4"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4"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4"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4"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4"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4"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ht="14.4">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9.4"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4"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4"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4"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4"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4"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4"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4"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4"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4"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4"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4"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4"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4"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5"/>
      <c r="G1" s="2545"/>
      <c r="H1" s="2545"/>
      <c r="I1" s="2545"/>
      <c r="J1" s="2545"/>
      <c r="K1" s="2545"/>
      <c r="L1" s="2545"/>
      <c r="M1" s="2545"/>
      <c r="N1" s="2545"/>
      <c r="O1" s="2545"/>
      <c r="P1" s="2545"/>
    </row>
    <row r="2" spans="1:16" ht="15.6">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6">
      <c r="A3" s="1984" t="s">
        <v>2076</v>
      </c>
      <c r="B3" s="2388" t="e">
        <f ca="1">ROUND(B2*10000/E2,0)</f>
        <v>#DIV/0!</v>
      </c>
      <c r="C3" s="1984" t="s">
        <v>2082</v>
      </c>
      <c r="D3" s="2545"/>
      <c r="E3" s="2545"/>
      <c r="F3" s="2545"/>
      <c r="G3" s="2545"/>
      <c r="H3" s="2545"/>
      <c r="I3" s="2545"/>
      <c r="J3" s="2545"/>
      <c r="K3" s="2545"/>
      <c r="L3" s="2545"/>
      <c r="M3" s="2545"/>
      <c r="N3" s="2545"/>
      <c r="O3" s="2545"/>
      <c r="P3" s="2545"/>
    </row>
    <row r="4" spans="1:16" ht="15.6">
      <c r="A4" s="2557"/>
      <c r="B4" s="2545"/>
      <c r="C4" s="2545"/>
      <c r="D4" s="2545"/>
      <c r="E4" s="2545"/>
      <c r="F4" s="2545"/>
      <c r="G4" s="2545"/>
      <c r="H4" s="2545"/>
      <c r="I4" s="2545"/>
      <c r="J4" s="2545"/>
      <c r="K4" s="2545"/>
      <c r="L4" s="2545"/>
      <c r="M4" s="2545"/>
      <c r="N4" s="2545"/>
      <c r="O4" s="2545"/>
      <c r="P4" s="2545"/>
    </row>
    <row r="5" spans="1:16" ht="31.2">
      <c r="A5" s="2394" t="s">
        <v>2077</v>
      </c>
      <c r="B5" s="2396" t="s">
        <v>2078</v>
      </c>
      <c r="C5" s="1985"/>
      <c r="D5" s="2545"/>
      <c r="E5" s="2397" t="s">
        <v>2079</v>
      </c>
      <c r="F5" s="2545"/>
      <c r="G5" s="2545"/>
      <c r="H5" s="2545"/>
      <c r="I5" s="2545"/>
      <c r="J5" s="2545"/>
      <c r="K5" s="2545"/>
      <c r="L5" s="2545"/>
      <c r="M5" s="2545"/>
      <c r="N5" s="2545"/>
      <c r="O5" s="2545"/>
      <c r="P5" s="2545"/>
    </row>
    <row r="6" spans="1:16" ht="15.6">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6">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6">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6">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6">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6">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6">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6">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2" sqref="E2"/>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6">
      <c r="A4" s="3371"/>
      <c r="B4" s="3372"/>
      <c r="C4" s="3372"/>
      <c r="D4" s="3373"/>
      <c r="E4" s="3373"/>
      <c r="F4" s="3373"/>
      <c r="G4" s="3373"/>
      <c r="H4" s="3373"/>
      <c r="I4" s="3373"/>
      <c r="J4" s="337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6" thickBot="1">
      <c r="A7" s="3013" t="s">
        <v>3236</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368" t="s">
        <v>1960</v>
      </c>
      <c r="X8" s="336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370"/>
      <c r="X9" s="3065" t="s">
        <v>3267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370"/>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8" thickBot="1">
      <c r="A12" s="3013" t="s">
        <v>3237</v>
      </c>
      <c r="B12" s="3014" t="s">
        <v>3238</v>
      </c>
      <c r="C12" s="3015"/>
      <c r="D12" s="3016" t="s">
        <v>3239</v>
      </c>
      <c r="E12" s="3017" t="s">
        <v>3240</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24.6" thickBot="1">
      <c r="A13" s="3013" t="s">
        <v>3241</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24">
      <c r="A14" s="3009"/>
      <c r="B14" s="1883" t="s">
        <v>1985</v>
      </c>
      <c r="C14" s="1884" t="s">
        <v>1986</v>
      </c>
      <c r="D14" s="1261" t="s">
        <v>1987</v>
      </c>
      <c r="E14" s="27" t="s">
        <v>1988</v>
      </c>
      <c r="F14" s="3021" t="s">
        <v>3242</v>
      </c>
      <c r="G14" s="3021" t="s">
        <v>3242</v>
      </c>
      <c r="H14" s="3021" t="s">
        <v>3242</v>
      </c>
      <c r="I14" s="3021" t="s">
        <v>3242</v>
      </c>
      <c r="J14" s="3021" t="s">
        <v>3242</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3243</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ht="24">
      <c r="A17" s="3036" t="s">
        <v>3244</v>
      </c>
      <c r="B17" s="3028" t="s">
        <v>3245</v>
      </c>
      <c r="C17" s="3037">
        <f>ROUND(IF(OR(E2="工业",E2="公共服务"),1,IF(AND(E18=0,E19=0),1,IF(AND(E18=J24,E19=G19),0.8,IF(E19=0,1+E17*(-0.2),1+E17*G17*(-0.2))))),4)</f>
        <v>1</v>
      </c>
      <c r="D17" s="3029" t="s">
        <v>3246</v>
      </c>
      <c r="E17" s="3037" t="e">
        <f>ROUND(G18/I18,2)</f>
        <v>#DIV/0!</v>
      </c>
      <c r="F17" s="3029" t="s">
        <v>3249</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9"/>
      <c r="B18" s="2310"/>
      <c r="C18" s="3035"/>
      <c r="D18" s="3030" t="s">
        <v>3247</v>
      </c>
      <c r="E18" s="2357"/>
      <c r="F18" s="3031" t="s">
        <v>3250</v>
      </c>
      <c r="G18" s="3035">
        <f>ROUND(1-(1/(POWER(1+G24,E18))),4)</f>
        <v>0</v>
      </c>
      <c r="H18" s="3031" t="s">
        <v>3252</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4" thickBot="1">
      <c r="A19" s="3041"/>
      <c r="B19" s="3042"/>
      <c r="C19" s="3043"/>
      <c r="D19" s="3043" t="s">
        <v>3248</v>
      </c>
      <c r="E19" s="3044"/>
      <c r="F19" s="3045" t="s">
        <v>3251</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3.8">
      <c r="A20" s="3375" t="s">
        <v>3253</v>
      </c>
      <c r="B20" s="159" t="s">
        <v>1994</v>
      </c>
      <c r="C20" s="3032" t="e">
        <f>ROUND(IF(F21="与级别开发程度一致",0,(G21-E21)/C21),0)</f>
        <v>#DIV/0!</v>
      </c>
      <c r="D20" s="3047" t="s">
        <v>1998</v>
      </c>
      <c r="E20" s="3048"/>
      <c r="F20" s="3381" t="s">
        <v>1995</v>
      </c>
      <c r="G20" s="3382"/>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4.4" thickBot="1">
      <c r="A21" s="3376"/>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 thickBot="1">
      <c r="A22" s="1996" t="s">
        <v>363</v>
      </c>
      <c r="B22" s="1997" t="s">
        <v>2000</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45845</v>
      </c>
      <c r="H23" s="3049" t="s">
        <v>3255</v>
      </c>
      <c r="I23" s="3050" t="str">
        <f>IF(H23="季度增幅（自定义）",SUMIF(N25:N28,E2,O25:O28),"")</f>
        <v/>
      </c>
      <c r="J23" s="3142" t="s">
        <v>3254</v>
      </c>
      <c r="K23" s="1061"/>
      <c r="L23" s="1897" t="s">
        <v>2004</v>
      </c>
      <c r="M23" s="1241">
        <f>ROUND(SUMIF(地价!B2:G2,E2,地价!B16:G16),0)</f>
        <v>0</v>
      </c>
      <c r="N23" s="1898" t="s">
        <v>2005</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4">
      <c r="A25" s="1907" t="s">
        <v>366</v>
      </c>
      <c r="B25" s="1908" t="s">
        <v>3334</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3257</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1" t="s">
        <v>3259</v>
      </c>
      <c r="G33" s="1941"/>
      <c r="H33" s="1941"/>
      <c r="I33" s="1941"/>
      <c r="J33" s="1942"/>
      <c r="K33" s="1056"/>
      <c r="L33" s="3054" t="s">
        <v>3262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3264</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379"/>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3265</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80"/>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380"/>
      <c r="B39" s="1884" t="s">
        <v>3258</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3266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1" t="s">
        <v>3268</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1" t="s">
        <v>3268</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1" t="s">
        <v>3268</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48">
      <c r="A85" s="3071" t="s">
        <v>3269</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3.8">
      <c r="A91" s="3079" t="s">
        <v>2611</v>
      </c>
      <c r="B91" s="3080">
        <f>1+E93</f>
        <v>1</v>
      </c>
      <c r="C91" s="3073"/>
      <c r="D91" s="3074"/>
      <c r="E91" s="1675"/>
      <c r="F91" s="1675"/>
      <c r="G91" s="3075"/>
      <c r="H91" s="3076"/>
      <c r="I91" s="3077"/>
      <c r="J91" s="3078"/>
      <c r="K91" s="3078"/>
      <c r="L91" s="3078"/>
      <c r="M91" s="3078"/>
      <c r="N91" s="3078"/>
    </row>
    <row r="92" spans="1:37" ht="25.2">
      <c r="A92" s="3081" t="s">
        <v>3270</v>
      </c>
      <c r="B92" s="2310"/>
      <c r="C92" s="2310" t="s">
        <v>3279</v>
      </c>
      <c r="D92" s="2310" t="s">
        <v>3280</v>
      </c>
      <c r="E92" s="3053" t="s">
        <v>3281</v>
      </c>
      <c r="F92" s="3083" t="s">
        <v>3282</v>
      </c>
      <c r="G92" s="2310" t="s">
        <v>3283</v>
      </c>
      <c r="H92" s="3090" t="s">
        <v>3286</v>
      </c>
      <c r="I92" s="2310" t="s">
        <v>3287</v>
      </c>
      <c r="J92" s="2150" t="s">
        <v>3288</v>
      </c>
      <c r="K92" s="2150" t="s">
        <v>3289</v>
      </c>
      <c r="L92" s="2150" t="s">
        <v>3290</v>
      </c>
      <c r="M92" s="2150" t="s">
        <v>3291</v>
      </c>
      <c r="N92" s="2150" t="s">
        <v>3292</v>
      </c>
    </row>
    <row r="93" spans="1:37" ht="24">
      <c r="A93" s="3071" t="s">
        <v>3271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2.8">
      <c r="A94" s="3081" t="s">
        <v>3272</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48">
      <c r="A95" s="3071" t="s">
        <v>3268</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7.200000000000003">
      <c r="A96" s="3081" t="s">
        <v>3273</v>
      </c>
      <c r="B96" s="3087" t="s">
        <v>3284</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3274</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36">
      <c r="A98" s="3081" t="s">
        <v>3275</v>
      </c>
      <c r="B98" s="3088" t="s">
        <v>3285</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6.4">
      <c r="A99" s="3081" t="s">
        <v>3276</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6.4">
      <c r="A100" s="3081" t="s">
        <v>3277</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40.200000000000003" thickBot="1">
      <c r="A101" s="3082" t="s">
        <v>3278</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377" t="s">
        <v>3293</v>
      </c>
      <c r="B103" s="3377"/>
      <c r="C103" s="3377"/>
      <c r="D103" s="3377"/>
      <c r="E103" s="3377"/>
      <c r="F103" s="3377"/>
      <c r="G103" s="3377"/>
      <c r="H103" s="3377"/>
      <c r="I103" s="3377"/>
      <c r="J103" s="3377"/>
      <c r="K103" s="1667"/>
      <c r="L103" s="1667"/>
      <c r="M103" s="1667"/>
      <c r="N103" s="1667"/>
    </row>
    <row r="104" spans="1:14">
      <c r="A104" s="3378" t="s">
        <v>3294</v>
      </c>
      <c r="B104" s="3378" t="s">
        <v>3295</v>
      </c>
      <c r="C104" s="3091" t="s">
        <v>3296</v>
      </c>
      <c r="D104" s="3092"/>
      <c r="E104" s="3092"/>
      <c r="F104" s="3092"/>
      <c r="G104" s="3092"/>
      <c r="H104" s="3092"/>
      <c r="I104" s="3092"/>
      <c r="J104" s="3093"/>
      <c r="K104" s="3094"/>
      <c r="L104" s="3094"/>
      <c r="M104" s="3094"/>
      <c r="N104" s="3094"/>
    </row>
    <row r="105" spans="1:14">
      <c r="A105" s="3378"/>
      <c r="B105" s="3378"/>
      <c r="C105" s="3095" t="s">
        <v>3297</v>
      </c>
      <c r="D105" s="3095" t="s">
        <v>3298</v>
      </c>
      <c r="E105" s="3095" t="s">
        <v>3299</v>
      </c>
      <c r="F105" s="3095" t="s">
        <v>3300</v>
      </c>
      <c r="G105" s="3095" t="s">
        <v>3301</v>
      </c>
      <c r="H105" s="3095" t="s">
        <v>3302</v>
      </c>
      <c r="I105" s="3095" t="s">
        <v>3303</v>
      </c>
      <c r="J105" s="3095" t="s">
        <v>3304</v>
      </c>
      <c r="K105" s="3095" t="s">
        <v>3305</v>
      </c>
      <c r="L105" s="3095" t="s">
        <v>3306</v>
      </c>
      <c r="M105" s="3095" t="s">
        <v>3307</v>
      </c>
      <c r="N105" s="3095" t="s">
        <v>3308</v>
      </c>
    </row>
    <row r="106" spans="1:14">
      <c r="A106" s="3364" t="s">
        <v>3309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65"/>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65"/>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65"/>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65"/>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65"/>
      <c r="B111" s="3095" t="s">
        <v>3267</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366"/>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367" t="s">
        <v>3310</v>
      </c>
      <c r="B113" s="3367"/>
      <c r="C113" s="3367"/>
      <c r="D113" s="3367"/>
      <c r="E113" s="3367"/>
      <c r="F113" s="3367"/>
      <c r="G113" s="3367"/>
      <c r="H113" s="3367"/>
      <c r="I113" s="3367"/>
      <c r="J113" s="3367"/>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8" thickBot="1">
      <c r="A115" s="3098"/>
      <c r="B115" s="3098"/>
      <c r="C115" s="3098"/>
      <c r="D115" s="3098"/>
      <c r="E115" s="3098"/>
      <c r="F115" s="3098"/>
      <c r="G115" s="3098"/>
      <c r="H115" s="3098"/>
      <c r="I115" s="3098"/>
      <c r="J115" s="3098"/>
      <c r="K115" s="1964"/>
      <c r="L115" s="3098"/>
      <c r="M115" s="3098"/>
      <c r="N115" s="3098"/>
    </row>
    <row r="116" spans="1:14" ht="25.8" thickBot="1">
      <c r="A116" s="3099" t="s">
        <v>3311</v>
      </c>
      <c r="B116" s="3115">
        <f>G3</f>
        <v>0</v>
      </c>
      <c r="C116" s="3100" t="s">
        <v>3312</v>
      </c>
      <c r="D116" s="3101">
        <f>SUMPRODUCT((A118:A122=F116)*(B117:M117=H116)*B118:M122)</f>
        <v>0</v>
      </c>
      <c r="E116" s="162" t="s">
        <v>3313</v>
      </c>
      <c r="F116" s="3102">
        <f>E2</f>
        <v>0</v>
      </c>
      <c r="G116" s="162" t="s">
        <v>3314</v>
      </c>
      <c r="H116" s="3102">
        <f>G2</f>
        <v>0</v>
      </c>
      <c r="I116" s="162"/>
      <c r="J116" s="3103"/>
      <c r="K116" s="3103"/>
      <c r="L116" s="3103"/>
      <c r="M116" s="3103"/>
      <c r="N116" s="3098"/>
    </row>
    <row r="117" spans="1:14">
      <c r="A117" s="3104"/>
      <c r="B117" s="3105" t="s">
        <v>3315</v>
      </c>
      <c r="C117" s="3105" t="s">
        <v>3316</v>
      </c>
      <c r="D117" s="3105" t="s">
        <v>3317</v>
      </c>
      <c r="E117" s="3106" t="s">
        <v>3318</v>
      </c>
      <c r="F117" s="3106" t="s">
        <v>3319</v>
      </c>
      <c r="G117" s="3106" t="s">
        <v>3320</v>
      </c>
      <c r="H117" s="3107" t="s">
        <v>3321</v>
      </c>
      <c r="I117" s="3107" t="s">
        <v>3322</v>
      </c>
      <c r="J117" s="3108" t="s">
        <v>3323</v>
      </c>
      <c r="K117" s="3108" t="s">
        <v>3324</v>
      </c>
      <c r="L117" s="3108" t="s">
        <v>3325</v>
      </c>
      <c r="M117" s="3109" t="s">
        <v>3326</v>
      </c>
      <c r="N117" s="3098"/>
    </row>
    <row r="118" spans="1:14">
      <c r="A118" s="3058" t="s">
        <v>3327</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3328</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3329</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8" thickBot="1">
      <c r="A121" s="3111" t="s">
        <v>3330</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2611</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4" customWidth="1"/>
    <col min="14" max="14" width="10" style="2814" customWidth="1"/>
    <col min="15" max="16" width="8.21875" style="2814"/>
    <col min="17" max="17" width="34.109375" style="2814" customWidth="1"/>
    <col min="18" max="18" width="8.21875" style="2814" customWidth="1"/>
    <col min="19" max="19" width="8.21875" style="2814"/>
    <col min="20" max="20" width="11.6640625" style="2814" customWidth="1"/>
    <col min="21" max="16384" width="8.21875" style="2814"/>
  </cols>
  <sheetData>
    <row r="1" spans="1:13" ht="19.5" customHeight="1" thickBot="1">
      <c r="A1" s="2811" t="s">
        <v>2593</v>
      </c>
      <c r="B1" s="2812" t="s">
        <v>2594</v>
      </c>
      <c r="C1" s="2812" t="s">
        <v>2595</v>
      </c>
      <c r="D1" s="2812" t="s">
        <v>2596</v>
      </c>
      <c r="E1" s="2812" t="s">
        <v>2597</v>
      </c>
      <c r="F1" s="2812" t="s">
        <v>2598</v>
      </c>
      <c r="G1" s="2812" t="s">
        <v>2599</v>
      </c>
      <c r="H1" s="2812" t="s">
        <v>2600</v>
      </c>
      <c r="I1" s="2812" t="s">
        <v>2601</v>
      </c>
      <c r="J1" s="2812" t="s">
        <v>2602</v>
      </c>
      <c r="K1" s="2812" t="s">
        <v>2603</v>
      </c>
      <c r="L1" s="2812" t="s">
        <v>2604</v>
      </c>
      <c r="M1" s="2813" t="s">
        <v>2605</v>
      </c>
    </row>
    <row r="2" spans="1:13" ht="19.5" customHeight="1">
      <c r="A2" s="2815" t="s">
        <v>2606</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2607</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2608</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2609</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2610</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2611</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2612</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2613</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2614</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2615</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2616</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2617</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2618</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2619</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2620</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2621</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2622</v>
      </c>
      <c r="B18" s="2837"/>
      <c r="C18" s="2838"/>
      <c r="D18" s="2838"/>
      <c r="E18" s="2837"/>
      <c r="F18" s="2838"/>
      <c r="G18" s="2838"/>
    </row>
    <row r="19" spans="1:13" ht="19.5" customHeight="1" thickBot="1">
      <c r="A19" s="2835" t="s">
        <v>2623</v>
      </c>
      <c r="B19" s="2840" t="s">
        <v>2624</v>
      </c>
      <c r="C19" s="2840" t="s">
        <v>2625</v>
      </c>
      <c r="D19" s="2841"/>
      <c r="E19" s="2835" t="s">
        <v>2626</v>
      </c>
      <c r="F19" s="2842"/>
      <c r="G19" s="2842"/>
    </row>
    <row r="20" spans="1:13" ht="19.5" customHeight="1">
      <c r="A20" s="3394" t="s">
        <v>2606</v>
      </c>
      <c r="B20" s="3387" t="s">
        <v>2627</v>
      </c>
      <c r="C20" s="3169" t="s">
        <v>2438</v>
      </c>
      <c r="D20" s="3169"/>
      <c r="E20" s="2845">
        <v>1</v>
      </c>
      <c r="F20" s="2846" t="s">
        <v>2439</v>
      </c>
      <c r="G20" s="2846"/>
    </row>
    <row r="21" spans="1:13" ht="19.5" customHeight="1">
      <c r="A21" s="3395"/>
      <c r="B21" s="3383"/>
      <c r="C21" s="2858" t="s">
        <v>2440</v>
      </c>
      <c r="D21" s="2858"/>
      <c r="E21" s="2849">
        <v>1</v>
      </c>
      <c r="F21" s="2846" t="s">
        <v>2441</v>
      </c>
      <c r="G21" s="2846"/>
    </row>
    <row r="22" spans="1:13" ht="19.5" customHeight="1">
      <c r="A22" s="3395"/>
      <c r="B22" s="3383"/>
      <c r="C22" s="2858" t="s">
        <v>2442</v>
      </c>
      <c r="D22" s="2858"/>
      <c r="E22" s="2849">
        <v>0.9</v>
      </c>
      <c r="F22" s="2846" t="s">
        <v>2443</v>
      </c>
      <c r="G22" s="2846"/>
    </row>
    <row r="23" spans="1:13" ht="19.5" customHeight="1">
      <c r="A23" s="3395"/>
      <c r="B23" s="3383"/>
      <c r="C23" s="2858" t="s">
        <v>2444</v>
      </c>
      <c r="D23" s="2858"/>
      <c r="E23" s="2849">
        <v>0.9</v>
      </c>
      <c r="F23" s="2846" t="s">
        <v>2445</v>
      </c>
      <c r="G23" s="2846"/>
    </row>
    <row r="24" spans="1:13" ht="19.5" customHeight="1">
      <c r="A24" s="3395"/>
      <c r="B24" s="3383"/>
      <c r="C24" s="2858" t="s">
        <v>2446</v>
      </c>
      <c r="D24" s="2858"/>
      <c r="E24" s="2849">
        <v>0.8</v>
      </c>
      <c r="F24" s="2846" t="s">
        <v>2447</v>
      </c>
      <c r="G24" s="2846"/>
    </row>
    <row r="25" spans="1:13" ht="19.5" customHeight="1">
      <c r="A25" s="3395"/>
      <c r="B25" s="3383"/>
      <c r="C25" s="2858" t="s">
        <v>2448</v>
      </c>
      <c r="D25" s="2858"/>
      <c r="E25" s="2849">
        <v>0.8</v>
      </c>
      <c r="F25" s="2846"/>
      <c r="G25" s="2846"/>
    </row>
    <row r="26" spans="1:13" ht="19.5" customHeight="1">
      <c r="A26" s="3395"/>
      <c r="B26" s="3383"/>
      <c r="C26" s="2858" t="s">
        <v>3411</v>
      </c>
      <c r="D26" s="2858"/>
      <c r="E26" s="2849">
        <v>0.43</v>
      </c>
      <c r="F26" s="2846"/>
      <c r="G26" s="2846"/>
    </row>
    <row r="27" spans="1:13" ht="19.5" customHeight="1" thickBot="1">
      <c r="A27" s="3396"/>
      <c r="B27" s="3388"/>
      <c r="C27" s="3165" t="s">
        <v>3412</v>
      </c>
      <c r="D27" s="3165"/>
      <c r="E27" s="2852">
        <f>E26*0.9</f>
        <v>0.38700000000000001</v>
      </c>
      <c r="F27" s="2846" t="s">
        <v>2449</v>
      </c>
      <c r="G27" s="2846"/>
    </row>
    <row r="28" spans="1:13" ht="19.5" customHeight="1" thickBot="1">
      <c r="A28" s="3164" t="s">
        <v>2628</v>
      </c>
      <c r="B28" s="3163" t="s">
        <v>2627</v>
      </c>
      <c r="C28" s="3166" t="s">
        <v>2629</v>
      </c>
      <c r="D28" s="3167"/>
      <c r="E28" s="3168">
        <v>1</v>
      </c>
      <c r="F28" s="2846" t="s">
        <v>2450</v>
      </c>
      <c r="G28" s="2846"/>
    </row>
    <row r="29" spans="1:13" ht="19.5" customHeight="1">
      <c r="A29" s="3389" t="s">
        <v>2630</v>
      </c>
      <c r="B29" s="3392" t="s">
        <v>2611</v>
      </c>
      <c r="C29" s="2843" t="s">
        <v>2451</v>
      </c>
      <c r="D29" s="2844"/>
      <c r="E29" s="2845">
        <v>1</v>
      </c>
      <c r="F29" s="2846" t="s">
        <v>2452</v>
      </c>
      <c r="G29" s="2846"/>
    </row>
    <row r="30" spans="1:13" ht="19.5" customHeight="1">
      <c r="A30" s="3390"/>
      <c r="B30" s="3386"/>
      <c r="C30" s="2847" t="s">
        <v>2453</v>
      </c>
      <c r="D30" s="2848"/>
      <c r="E30" s="2849">
        <v>1</v>
      </c>
      <c r="F30" s="2846" t="s">
        <v>2454</v>
      </c>
      <c r="G30" s="2846"/>
    </row>
    <row r="31" spans="1:13" ht="19.5" customHeight="1">
      <c r="A31" s="3390"/>
      <c r="B31" s="3386"/>
      <c r="C31" s="2847" t="s">
        <v>2455</v>
      </c>
      <c r="D31" s="2848"/>
      <c r="E31" s="2849">
        <v>0.8</v>
      </c>
      <c r="F31" s="2846" t="s">
        <v>2456</v>
      </c>
      <c r="G31" s="2846"/>
    </row>
    <row r="32" spans="1:13" ht="19.5" customHeight="1">
      <c r="A32" s="3390"/>
      <c r="B32" s="3386"/>
      <c r="C32" s="2847" t="s">
        <v>2457</v>
      </c>
      <c r="D32" s="2848"/>
      <c r="E32" s="2849">
        <v>0.8</v>
      </c>
      <c r="F32" s="2846" t="s">
        <v>2458</v>
      </c>
      <c r="G32" s="2846"/>
    </row>
    <row r="33" spans="1:7" ht="19.5" customHeight="1">
      <c r="A33" s="3390"/>
      <c r="B33" s="3386"/>
      <c r="C33" s="2847" t="s">
        <v>2459</v>
      </c>
      <c r="D33" s="2848"/>
      <c r="E33" s="2849">
        <v>0.8</v>
      </c>
      <c r="F33" s="2846" t="s">
        <v>2460</v>
      </c>
      <c r="G33" s="2846"/>
    </row>
    <row r="34" spans="1:7" ht="19.5" customHeight="1">
      <c r="A34" s="3390"/>
      <c r="B34" s="3386"/>
      <c r="C34" s="2847" t="s">
        <v>2461</v>
      </c>
      <c r="D34" s="2848"/>
      <c r="E34" s="2849">
        <v>0.7</v>
      </c>
      <c r="F34" s="2846" t="s">
        <v>2462</v>
      </c>
      <c r="G34" s="2846"/>
    </row>
    <row r="35" spans="1:7" ht="19.5" customHeight="1">
      <c r="A35" s="3390"/>
      <c r="B35" s="3386"/>
      <c r="C35" s="2847" t="s">
        <v>2463</v>
      </c>
      <c r="D35" s="2848"/>
      <c r="E35" s="2849">
        <v>0.8</v>
      </c>
      <c r="F35" s="2846" t="s">
        <v>2464</v>
      </c>
      <c r="G35" s="2846"/>
    </row>
    <row r="36" spans="1:7" ht="19.5" customHeight="1">
      <c r="A36" s="3390"/>
      <c r="B36" s="3386"/>
      <c r="C36" s="2847" t="s">
        <v>2465</v>
      </c>
      <c r="D36" s="2848"/>
      <c r="E36" s="2849">
        <v>0.6</v>
      </c>
      <c r="F36" s="2846" t="s">
        <v>2466</v>
      </c>
      <c r="G36" s="2846"/>
    </row>
    <row r="37" spans="1:7" ht="19.5" customHeight="1">
      <c r="A37" s="3390"/>
      <c r="B37" s="3386"/>
      <c r="C37" s="2847" t="s">
        <v>2467</v>
      </c>
      <c r="D37" s="2848"/>
      <c r="E37" s="2849">
        <v>0.2</v>
      </c>
      <c r="F37" s="2846" t="s">
        <v>2468</v>
      </c>
      <c r="G37" s="2846"/>
    </row>
    <row r="38" spans="1:7" ht="19.5" customHeight="1">
      <c r="A38" s="3390"/>
      <c r="B38" s="3386"/>
      <c r="C38" s="2847" t="s">
        <v>2469</v>
      </c>
      <c r="D38" s="2848"/>
      <c r="E38" s="2849">
        <v>0.2</v>
      </c>
      <c r="F38" s="2846" t="s">
        <v>2470</v>
      </c>
      <c r="G38" s="2846"/>
    </row>
    <row r="39" spans="1:7" ht="19.5" customHeight="1">
      <c r="A39" s="3390"/>
      <c r="B39" s="3384" t="s">
        <v>2631</v>
      </c>
      <c r="C39" s="2847" t="s">
        <v>2471</v>
      </c>
      <c r="D39" s="2848"/>
      <c r="E39" s="2849">
        <v>0.6</v>
      </c>
      <c r="F39" s="2846" t="s">
        <v>2472</v>
      </c>
      <c r="G39" s="2846"/>
    </row>
    <row r="40" spans="1:7" ht="19.5" customHeight="1">
      <c r="A40" s="3390"/>
      <c r="B40" s="3386"/>
      <c r="C40" s="2847" t="s">
        <v>2473</v>
      </c>
      <c r="D40" s="2848"/>
      <c r="E40" s="2849">
        <v>0.6</v>
      </c>
      <c r="F40" s="2846" t="s">
        <v>2474</v>
      </c>
      <c r="G40" s="2846"/>
    </row>
    <row r="41" spans="1:7" ht="19.5" customHeight="1" thickBot="1">
      <c r="A41" s="3391"/>
      <c r="B41" s="3393"/>
      <c r="C41" s="2850" t="s">
        <v>2475</v>
      </c>
      <c r="D41" s="2851"/>
      <c r="E41" s="2852">
        <v>0.6</v>
      </c>
      <c r="F41" s="2846" t="s">
        <v>2476</v>
      </c>
      <c r="G41" s="2846"/>
    </row>
    <row r="42" spans="1:7" ht="19.5" customHeight="1" thickBot="1">
      <c r="A42" s="2853" t="s">
        <v>2608</v>
      </c>
      <c r="B42" s="2854" t="s">
        <v>2608</v>
      </c>
      <c r="C42" s="2855" t="s">
        <v>2632</v>
      </c>
      <c r="D42" s="2856"/>
      <c r="E42" s="2857">
        <v>1</v>
      </c>
      <c r="F42" s="2846" t="s">
        <v>2477</v>
      </c>
      <c r="G42" s="2846"/>
    </row>
    <row r="43" spans="1:7" ht="19.5" customHeight="1">
      <c r="A43" s="3394" t="s">
        <v>2609</v>
      </c>
      <c r="B43" s="3392" t="s">
        <v>2633</v>
      </c>
      <c r="C43" s="2843" t="s">
        <v>2478</v>
      </c>
      <c r="D43" s="2844"/>
      <c r="E43" s="2845">
        <v>1</v>
      </c>
      <c r="F43" s="2846" t="s">
        <v>2479</v>
      </c>
      <c r="G43" s="2846"/>
    </row>
    <row r="44" spans="1:7" ht="19.5" customHeight="1">
      <c r="A44" s="3395"/>
      <c r="B44" s="3386"/>
      <c r="C44" s="2847" t="s">
        <v>2480</v>
      </c>
      <c r="D44" s="2848"/>
      <c r="E44" s="2849">
        <v>1</v>
      </c>
      <c r="F44" s="2846" t="s">
        <v>2481</v>
      </c>
      <c r="G44" s="2846"/>
    </row>
    <row r="45" spans="1:7" ht="19.5" customHeight="1">
      <c r="A45" s="3395"/>
      <c r="B45" s="3385"/>
      <c r="C45" s="2847" t="s">
        <v>2482</v>
      </c>
      <c r="D45" s="2848"/>
      <c r="E45" s="2849">
        <v>1.5</v>
      </c>
      <c r="F45" s="2846" t="s">
        <v>2483</v>
      </c>
      <c r="G45" s="2846"/>
    </row>
    <row r="46" spans="1:7" ht="19.5" customHeight="1">
      <c r="A46" s="3395"/>
      <c r="B46" s="2858" t="s">
        <v>2634</v>
      </c>
      <c r="C46" s="2847" t="s">
        <v>2635</v>
      </c>
      <c r="D46" s="2848"/>
      <c r="E46" s="2849">
        <v>2</v>
      </c>
      <c r="F46" s="2846" t="s">
        <v>2484</v>
      </c>
      <c r="G46" s="2846"/>
    </row>
    <row r="47" spans="1:7" ht="19.5" customHeight="1">
      <c r="A47" s="3395"/>
      <c r="B47" s="3384" t="s">
        <v>2636</v>
      </c>
      <c r="C47" s="2847" t="s">
        <v>2485</v>
      </c>
      <c r="D47" s="2848"/>
      <c r="E47" s="2849">
        <v>1</v>
      </c>
      <c r="F47" s="2846" t="s">
        <v>2486</v>
      </c>
      <c r="G47" s="2846"/>
    </row>
    <row r="48" spans="1:7" ht="19.5" customHeight="1">
      <c r="A48" s="3395"/>
      <c r="B48" s="3386"/>
      <c r="C48" s="2847" t="s">
        <v>2487</v>
      </c>
      <c r="D48" s="2848"/>
      <c r="E48" s="2849">
        <v>1</v>
      </c>
      <c r="F48" s="2846" t="s">
        <v>2488</v>
      </c>
      <c r="G48" s="2846"/>
    </row>
    <row r="49" spans="1:7" ht="19.5" customHeight="1">
      <c r="A49" s="3395"/>
      <c r="B49" s="3386"/>
      <c r="C49" s="2847" t="s">
        <v>2489</v>
      </c>
      <c r="D49" s="2848"/>
      <c r="E49" s="2849">
        <v>1</v>
      </c>
      <c r="F49" s="2846" t="s">
        <v>2490</v>
      </c>
      <c r="G49" s="2846"/>
    </row>
    <row r="50" spans="1:7" ht="19.5" customHeight="1">
      <c r="A50" s="3395"/>
      <c r="B50" s="3386"/>
      <c r="C50" s="2847" t="s">
        <v>2491</v>
      </c>
      <c r="D50" s="2848"/>
      <c r="E50" s="2849">
        <v>1</v>
      </c>
      <c r="F50" s="2846" t="s">
        <v>2492</v>
      </c>
      <c r="G50" s="2846"/>
    </row>
    <row r="51" spans="1:7" ht="19.5" customHeight="1">
      <c r="A51" s="3395"/>
      <c r="B51" s="3386"/>
      <c r="C51" s="2847" t="s">
        <v>2493</v>
      </c>
      <c r="D51" s="2848"/>
      <c r="E51" s="2849">
        <v>1</v>
      </c>
      <c r="F51" s="2846" t="s">
        <v>2494</v>
      </c>
      <c r="G51" s="2846"/>
    </row>
    <row r="52" spans="1:7" ht="19.5" customHeight="1">
      <c r="A52" s="3395"/>
      <c r="B52" s="3386"/>
      <c r="C52" s="2847" t="s">
        <v>2495</v>
      </c>
      <c r="D52" s="2848"/>
      <c r="E52" s="2849">
        <v>1</v>
      </c>
      <c r="F52" s="2846" t="s">
        <v>2496</v>
      </c>
      <c r="G52" s="2846"/>
    </row>
    <row r="53" spans="1:7" ht="19.5" customHeight="1" thickBot="1">
      <c r="A53" s="3396"/>
      <c r="B53" s="3393"/>
      <c r="C53" s="2850" t="s">
        <v>2497</v>
      </c>
      <c r="D53" s="2851"/>
      <c r="E53" s="2852">
        <v>1</v>
      </c>
      <c r="F53" s="2846" t="s">
        <v>2498</v>
      </c>
      <c r="G53" s="2846"/>
    </row>
    <row r="54" spans="1:7" ht="19.5" customHeight="1">
      <c r="A54" s="2859"/>
      <c r="B54" s="2859"/>
      <c r="C54" s="2859"/>
      <c r="D54" s="2859"/>
      <c r="E54" s="2859"/>
      <c r="F54" s="2859"/>
      <c r="G54" s="2859"/>
    </row>
    <row r="56" spans="1:7" ht="19.5" customHeight="1">
      <c r="A56" s="2860"/>
      <c r="B56" s="2832" t="s">
        <v>2637</v>
      </c>
      <c r="C56" s="2832" t="s">
        <v>2637</v>
      </c>
      <c r="D56" s="2832" t="s">
        <v>2637</v>
      </c>
      <c r="E56" s="2835" t="s">
        <v>2637</v>
      </c>
      <c r="F56" s="2835" t="s">
        <v>2638</v>
      </c>
      <c r="G56" s="2835" t="s">
        <v>2639</v>
      </c>
    </row>
    <row r="57" spans="1:7" ht="19.5" customHeight="1">
      <c r="A57" s="2861"/>
      <c r="B57" s="2835" t="s">
        <v>2606</v>
      </c>
      <c r="C57" s="2835" t="s">
        <v>2606</v>
      </c>
      <c r="D57" s="2835" t="s">
        <v>2606</v>
      </c>
      <c r="E57" s="2832" t="s">
        <v>2607</v>
      </c>
      <c r="F57" s="2832" t="s">
        <v>2609</v>
      </c>
      <c r="G57" s="2832" t="s">
        <v>2640</v>
      </c>
    </row>
    <row r="58" spans="1:7" ht="19.5" customHeight="1">
      <c r="A58" s="2862"/>
      <c r="B58" s="2832">
        <v>1</v>
      </c>
      <c r="C58" s="2832">
        <v>2</v>
      </c>
      <c r="D58" s="2832">
        <v>3</v>
      </c>
      <c r="E58" s="2863" t="s">
        <v>2641</v>
      </c>
      <c r="F58" s="2863" t="s">
        <v>2641</v>
      </c>
      <c r="G58" s="2863" t="s">
        <v>2641</v>
      </c>
    </row>
    <row r="59" spans="1:7" ht="19.5" customHeight="1">
      <c r="A59" s="2864" t="s">
        <v>2594</v>
      </c>
      <c r="B59" s="2832">
        <v>0.7</v>
      </c>
      <c r="C59" s="2832">
        <v>0.4</v>
      </c>
      <c r="D59" s="2832">
        <v>0.3</v>
      </c>
      <c r="E59" s="2863">
        <v>0.3</v>
      </c>
      <c r="F59" s="2832">
        <v>0.3</v>
      </c>
      <c r="G59" s="2832">
        <v>0.2</v>
      </c>
    </row>
    <row r="60" spans="1:7" ht="19.5" customHeight="1">
      <c r="A60" s="2864" t="s">
        <v>2595</v>
      </c>
      <c r="B60" s="2832">
        <v>0.7</v>
      </c>
      <c r="C60" s="2832">
        <v>0.4</v>
      </c>
      <c r="D60" s="2832">
        <v>0.3</v>
      </c>
      <c r="E60" s="2832">
        <v>0.3</v>
      </c>
      <c r="F60" s="2832">
        <v>0.3</v>
      </c>
      <c r="G60" s="2832">
        <v>0.2</v>
      </c>
    </row>
    <row r="61" spans="1:7" ht="19.5" customHeight="1">
      <c r="A61" s="2864" t="s">
        <v>2596</v>
      </c>
      <c r="B61" s="2832">
        <v>0.6</v>
      </c>
      <c r="C61" s="2832">
        <v>0.3</v>
      </c>
      <c r="D61" s="2832">
        <v>0.25</v>
      </c>
      <c r="E61" s="2832">
        <v>0.25</v>
      </c>
      <c r="F61" s="2832">
        <v>0.25</v>
      </c>
      <c r="G61" s="2832">
        <v>0.15</v>
      </c>
    </row>
    <row r="62" spans="1:7" ht="19.5" customHeight="1">
      <c r="A62" s="2864" t="s">
        <v>2597</v>
      </c>
      <c r="B62" s="2832">
        <v>0.6</v>
      </c>
      <c r="C62" s="2832">
        <v>0.3</v>
      </c>
      <c r="D62" s="2832">
        <v>0.25</v>
      </c>
      <c r="E62" s="2832">
        <v>0.25</v>
      </c>
      <c r="F62" s="2832">
        <v>0.25</v>
      </c>
      <c r="G62" s="2832">
        <v>0.15</v>
      </c>
    </row>
    <row r="63" spans="1:7" ht="19.5" customHeight="1">
      <c r="A63" s="2864" t="s">
        <v>2598</v>
      </c>
      <c r="B63" s="2832">
        <v>0.6</v>
      </c>
      <c r="C63" s="2832">
        <v>0.3</v>
      </c>
      <c r="D63" s="2832">
        <v>0.25</v>
      </c>
      <c r="E63" s="2832">
        <v>0.25</v>
      </c>
      <c r="F63" s="2832">
        <v>0.25</v>
      </c>
      <c r="G63" s="2832">
        <v>0.15</v>
      </c>
    </row>
    <row r="64" spans="1:7" ht="19.5" customHeight="1">
      <c r="A64" s="2864" t="s">
        <v>2599</v>
      </c>
      <c r="B64" s="2832">
        <v>0.6</v>
      </c>
      <c r="C64" s="2832">
        <v>0.3</v>
      </c>
      <c r="D64" s="2832">
        <v>0.25</v>
      </c>
      <c r="E64" s="2832">
        <v>0.25</v>
      </c>
      <c r="F64" s="2832">
        <v>0.25</v>
      </c>
      <c r="G64" s="2832">
        <v>0.15</v>
      </c>
    </row>
    <row r="65" spans="1:7" ht="19.5" customHeight="1">
      <c r="A65" s="2864" t="s">
        <v>2600</v>
      </c>
      <c r="B65" s="2832">
        <v>0.6</v>
      </c>
      <c r="C65" s="2832">
        <v>0.3</v>
      </c>
      <c r="D65" s="2832">
        <v>0.25</v>
      </c>
      <c r="E65" s="2832">
        <v>0.25</v>
      </c>
      <c r="F65" s="2832">
        <v>0.25</v>
      </c>
      <c r="G65" s="2832">
        <v>0.15</v>
      </c>
    </row>
    <row r="66" spans="1:7" ht="19.5" customHeight="1">
      <c r="A66" s="2864" t="s">
        <v>2601</v>
      </c>
      <c r="B66" s="2832">
        <v>0.5</v>
      </c>
      <c r="C66" s="2832">
        <v>0.2</v>
      </c>
      <c r="D66" s="2832">
        <v>0.2</v>
      </c>
      <c r="E66" s="2832">
        <v>0.2</v>
      </c>
      <c r="F66" s="2832">
        <v>0.2</v>
      </c>
      <c r="G66" s="2832">
        <v>0.1</v>
      </c>
    </row>
    <row r="67" spans="1:7" ht="19.5" customHeight="1">
      <c r="A67" s="2864" t="s">
        <v>2602</v>
      </c>
      <c r="B67" s="2832">
        <v>0.5</v>
      </c>
      <c r="C67" s="2832">
        <v>0.2</v>
      </c>
      <c r="D67" s="2832">
        <v>0.2</v>
      </c>
      <c r="E67" s="2832">
        <v>0.2</v>
      </c>
      <c r="F67" s="2832">
        <v>0.2</v>
      </c>
      <c r="G67" s="2832">
        <v>0.1</v>
      </c>
    </row>
    <row r="68" spans="1:7" ht="19.5" customHeight="1">
      <c r="A68" s="2864" t="s">
        <v>2603</v>
      </c>
      <c r="B68" s="2832">
        <v>0.5</v>
      </c>
      <c r="C68" s="2832">
        <v>0.2</v>
      </c>
      <c r="D68" s="2832">
        <v>0.2</v>
      </c>
      <c r="E68" s="2832">
        <v>0.2</v>
      </c>
      <c r="F68" s="2832">
        <v>0.2</v>
      </c>
      <c r="G68" s="2832">
        <v>0.1</v>
      </c>
    </row>
    <row r="69" spans="1:7" ht="19.5" customHeight="1">
      <c r="A69" s="2864" t="s">
        <v>2604</v>
      </c>
      <c r="B69" s="2832">
        <v>0.5</v>
      </c>
      <c r="C69" s="2832">
        <v>0.2</v>
      </c>
      <c r="D69" s="2832">
        <v>0.2</v>
      </c>
      <c r="E69" s="2832">
        <v>0.2</v>
      </c>
      <c r="F69" s="2832">
        <v>0.2</v>
      </c>
      <c r="G69" s="2832">
        <v>0.1</v>
      </c>
    </row>
    <row r="70" spans="1:7" ht="19.5" customHeight="1">
      <c r="A70" s="2864" t="s">
        <v>2605</v>
      </c>
      <c r="B70" s="2832">
        <v>0.5</v>
      </c>
      <c r="C70" s="2832">
        <v>0.2</v>
      </c>
      <c r="D70" s="2832">
        <v>0.2</v>
      </c>
      <c r="E70" s="2832">
        <v>0.2</v>
      </c>
      <c r="F70" s="2832">
        <v>0.2</v>
      </c>
      <c r="G70" s="2832">
        <v>0.1</v>
      </c>
    </row>
    <row r="72" spans="1:7" ht="19.5" customHeight="1">
      <c r="A72" s="2846"/>
      <c r="B72" s="2865"/>
      <c r="C72" s="2865"/>
      <c r="D72" s="2865" t="s">
        <v>2642</v>
      </c>
      <c r="E72" s="2865"/>
      <c r="F72" s="2865"/>
    </row>
    <row r="73" spans="1:7" ht="19.5" customHeight="1">
      <c r="A73" s="2858" t="s">
        <v>2643</v>
      </c>
      <c r="B73" s="2858" t="s">
        <v>2644</v>
      </c>
      <c r="C73" s="2858" t="s">
        <v>2645</v>
      </c>
      <c r="D73" s="2858" t="s">
        <v>2646</v>
      </c>
      <c r="E73" s="2858" t="s">
        <v>2647</v>
      </c>
      <c r="F73" s="2858" t="s">
        <v>2648</v>
      </c>
    </row>
    <row r="74" spans="1:7" ht="14.4">
      <c r="A74" s="2858"/>
      <c r="B74" s="2858"/>
      <c r="C74" s="2858" t="s">
        <v>2649</v>
      </c>
      <c r="D74" s="2858"/>
      <c r="E74" s="2858" t="s">
        <v>2620</v>
      </c>
      <c r="F74" s="2858" t="s">
        <v>2620</v>
      </c>
    </row>
    <row r="75" spans="1:7" ht="14.4">
      <c r="A75" s="2858">
        <v>1</v>
      </c>
      <c r="B75" s="3384" t="s">
        <v>2650</v>
      </c>
      <c r="C75" s="2832" t="s">
        <v>2651</v>
      </c>
      <c r="D75" s="2832" t="s">
        <v>2652</v>
      </c>
      <c r="E75" s="2858">
        <v>0.2</v>
      </c>
      <c r="F75" s="2858">
        <v>25</v>
      </c>
    </row>
    <row r="76" spans="1:7" ht="24">
      <c r="A76" s="2858">
        <v>2</v>
      </c>
      <c r="B76" s="3386"/>
      <c r="C76" s="2832" t="s">
        <v>2653</v>
      </c>
      <c r="D76" s="2832" t="s">
        <v>2654</v>
      </c>
      <c r="E76" s="2858">
        <v>0.2</v>
      </c>
      <c r="F76" s="2858">
        <v>25</v>
      </c>
    </row>
    <row r="77" spans="1:7" ht="24">
      <c r="A77" s="2858">
        <v>3</v>
      </c>
      <c r="B77" s="3386"/>
      <c r="C77" s="2832" t="s">
        <v>2655</v>
      </c>
      <c r="D77" s="2832" t="s">
        <v>2656</v>
      </c>
      <c r="E77" s="2858">
        <v>0.2</v>
      </c>
      <c r="F77" s="2858">
        <v>25</v>
      </c>
    </row>
    <row r="78" spans="1:7" ht="14.4">
      <c r="A78" s="2858">
        <v>4</v>
      </c>
      <c r="B78" s="3386"/>
      <c r="C78" s="2832" t="s">
        <v>2657</v>
      </c>
      <c r="D78" s="2832" t="s">
        <v>2658</v>
      </c>
      <c r="E78" s="2858">
        <v>0.15</v>
      </c>
      <c r="F78" s="2858">
        <v>20</v>
      </c>
    </row>
    <row r="79" spans="1:7" ht="24">
      <c r="A79" s="2858">
        <v>5</v>
      </c>
      <c r="B79" s="3386"/>
      <c r="C79" s="2832" t="s">
        <v>2659</v>
      </c>
      <c r="D79" s="2832" t="s">
        <v>2660</v>
      </c>
      <c r="E79" s="2858">
        <v>0.15</v>
      </c>
      <c r="F79" s="2858">
        <v>20</v>
      </c>
    </row>
    <row r="80" spans="1:7" ht="24">
      <c r="A80" s="2858">
        <v>6</v>
      </c>
      <c r="B80" s="3386"/>
      <c r="C80" s="2832" t="s">
        <v>2661</v>
      </c>
      <c r="D80" s="2832" t="s">
        <v>2662</v>
      </c>
      <c r="E80" s="2858">
        <v>0.15</v>
      </c>
      <c r="F80" s="2858">
        <v>20</v>
      </c>
    </row>
    <row r="81" spans="1:6" ht="24">
      <c r="A81" s="2858">
        <v>7</v>
      </c>
      <c r="B81" s="3386"/>
      <c r="C81" s="2832" t="s">
        <v>2663</v>
      </c>
      <c r="D81" s="2832" t="s">
        <v>2664</v>
      </c>
      <c r="E81" s="2858">
        <v>0.15</v>
      </c>
      <c r="F81" s="2858">
        <v>20</v>
      </c>
    </row>
    <row r="82" spans="1:6" ht="24">
      <c r="A82" s="2858">
        <v>8</v>
      </c>
      <c r="B82" s="3386"/>
      <c r="C82" s="2832" t="s">
        <v>2665</v>
      </c>
      <c r="D82" s="2832" t="s">
        <v>2666</v>
      </c>
      <c r="E82" s="2858">
        <v>0.1</v>
      </c>
      <c r="F82" s="2858">
        <v>15</v>
      </c>
    </row>
    <row r="83" spans="1:6" ht="24">
      <c r="A83" s="2858">
        <v>9</v>
      </c>
      <c r="B83" s="3386"/>
      <c r="C83" s="2832" t="s">
        <v>2667</v>
      </c>
      <c r="D83" s="2832" t="s">
        <v>2668</v>
      </c>
      <c r="E83" s="2858">
        <v>0.1</v>
      </c>
      <c r="F83" s="2858">
        <v>15</v>
      </c>
    </row>
    <row r="84" spans="1:6" ht="24">
      <c r="A84" s="2858">
        <v>10</v>
      </c>
      <c r="B84" s="3386"/>
      <c r="C84" s="2832" t="s">
        <v>2669</v>
      </c>
      <c r="D84" s="2832" t="s">
        <v>2670</v>
      </c>
      <c r="E84" s="2858">
        <v>0.1</v>
      </c>
      <c r="F84" s="2858">
        <v>15</v>
      </c>
    </row>
    <row r="85" spans="1:6" ht="24">
      <c r="A85" s="2858">
        <v>11</v>
      </c>
      <c r="B85" s="3386"/>
      <c r="C85" s="2832" t="s">
        <v>2671</v>
      </c>
      <c r="D85" s="2832" t="s">
        <v>2672</v>
      </c>
      <c r="E85" s="2858">
        <v>0.1</v>
      </c>
      <c r="F85" s="2858">
        <v>15</v>
      </c>
    </row>
    <row r="86" spans="1:6" ht="24">
      <c r="A86" s="2858">
        <v>12</v>
      </c>
      <c r="B86" s="3386"/>
      <c r="C86" s="2832" t="s">
        <v>2673</v>
      </c>
      <c r="D86" s="2832" t="s">
        <v>2674</v>
      </c>
      <c r="E86" s="2858">
        <v>0.1</v>
      </c>
      <c r="F86" s="2858">
        <v>15</v>
      </c>
    </row>
    <row r="87" spans="1:6" ht="24">
      <c r="A87" s="2858">
        <v>13</v>
      </c>
      <c r="B87" s="3386"/>
      <c r="C87" s="2832" t="s">
        <v>2675</v>
      </c>
      <c r="D87" s="2832" t="s">
        <v>2676</v>
      </c>
      <c r="E87" s="2858">
        <v>0.1</v>
      </c>
      <c r="F87" s="2858">
        <v>15</v>
      </c>
    </row>
    <row r="88" spans="1:6" ht="24">
      <c r="A88" s="2858">
        <v>14</v>
      </c>
      <c r="B88" s="3386"/>
      <c r="C88" s="2832" t="s">
        <v>2677</v>
      </c>
      <c r="D88" s="2832" t="s">
        <v>2678</v>
      </c>
      <c r="E88" s="2858">
        <v>0.1</v>
      </c>
      <c r="F88" s="2858">
        <v>15</v>
      </c>
    </row>
    <row r="89" spans="1:6" ht="24">
      <c r="A89" s="2858">
        <v>15</v>
      </c>
      <c r="B89" s="3386"/>
      <c r="C89" s="2832" t="s">
        <v>2679</v>
      </c>
      <c r="D89" s="2832" t="s">
        <v>2680</v>
      </c>
      <c r="E89" s="2858">
        <v>0.1</v>
      </c>
      <c r="F89" s="2858">
        <v>15</v>
      </c>
    </row>
    <row r="90" spans="1:6" ht="24">
      <c r="A90" s="2858">
        <v>16</v>
      </c>
      <c r="B90" s="3386"/>
      <c r="C90" s="2832" t="s">
        <v>2681</v>
      </c>
      <c r="D90" s="2832" t="s">
        <v>2682</v>
      </c>
      <c r="E90" s="2858">
        <v>0.1</v>
      </c>
      <c r="F90" s="2858">
        <v>15</v>
      </c>
    </row>
    <row r="91" spans="1:6" ht="24">
      <c r="A91" s="2858">
        <v>17</v>
      </c>
      <c r="B91" s="3385"/>
      <c r="C91" s="2832" t="s">
        <v>2683</v>
      </c>
      <c r="D91" s="2832" t="s">
        <v>2684</v>
      </c>
      <c r="E91" s="2858">
        <v>0.1</v>
      </c>
      <c r="F91" s="2858">
        <v>15</v>
      </c>
    </row>
    <row r="92" spans="1:6" ht="14.4">
      <c r="A92" s="2858">
        <v>18</v>
      </c>
      <c r="B92" s="3384" t="s">
        <v>2685</v>
      </c>
      <c r="C92" s="2832" t="s">
        <v>2686</v>
      </c>
      <c r="D92" s="2832" t="s">
        <v>2687</v>
      </c>
      <c r="E92" s="2858">
        <v>0.2</v>
      </c>
      <c r="F92" s="2858">
        <v>25</v>
      </c>
    </row>
    <row r="93" spans="1:6" ht="24">
      <c r="A93" s="2858">
        <v>19</v>
      </c>
      <c r="B93" s="3386"/>
      <c r="C93" s="2832" t="s">
        <v>2688</v>
      </c>
      <c r="D93" s="2832" t="s">
        <v>2689</v>
      </c>
      <c r="E93" s="2858">
        <v>0.2</v>
      </c>
      <c r="F93" s="2858">
        <v>25</v>
      </c>
    </row>
    <row r="94" spans="1:6" ht="14.4">
      <c r="A94" s="2858">
        <v>20</v>
      </c>
      <c r="B94" s="3386"/>
      <c r="C94" s="2832" t="s">
        <v>2690</v>
      </c>
      <c r="D94" s="2832" t="s">
        <v>2691</v>
      </c>
      <c r="E94" s="2858">
        <v>0.15</v>
      </c>
      <c r="F94" s="2858">
        <v>20</v>
      </c>
    </row>
    <row r="95" spans="1:6" ht="24">
      <c r="A95" s="2858">
        <v>21</v>
      </c>
      <c r="B95" s="3386"/>
      <c r="C95" s="2832" t="s">
        <v>2692</v>
      </c>
      <c r="D95" s="2832" t="s">
        <v>2693</v>
      </c>
      <c r="E95" s="2858">
        <v>0.15</v>
      </c>
      <c r="F95" s="2858">
        <v>20</v>
      </c>
    </row>
    <row r="96" spans="1:6" ht="24">
      <c r="A96" s="2858">
        <v>22</v>
      </c>
      <c r="B96" s="3386"/>
      <c r="C96" s="2832" t="s">
        <v>2694</v>
      </c>
      <c r="D96" s="2832" t="s">
        <v>2695</v>
      </c>
      <c r="E96" s="2858">
        <v>0.15</v>
      </c>
      <c r="F96" s="2858">
        <v>20</v>
      </c>
    </row>
    <row r="97" spans="1:6" ht="36">
      <c r="A97" s="2858">
        <v>23</v>
      </c>
      <c r="B97" s="3386"/>
      <c r="C97" s="2832" t="s">
        <v>2696</v>
      </c>
      <c r="D97" s="2832" t="s">
        <v>2697</v>
      </c>
      <c r="E97" s="2858">
        <v>0.15</v>
      </c>
      <c r="F97" s="2858">
        <v>20</v>
      </c>
    </row>
    <row r="98" spans="1:6" ht="24">
      <c r="A98" s="2858">
        <v>24</v>
      </c>
      <c r="B98" s="3386"/>
      <c r="C98" s="2832" t="s">
        <v>2698</v>
      </c>
      <c r="D98" s="2832" t="s">
        <v>2699</v>
      </c>
      <c r="E98" s="2858">
        <v>0.1</v>
      </c>
      <c r="F98" s="2858">
        <v>15</v>
      </c>
    </row>
    <row r="99" spans="1:6" ht="24">
      <c r="A99" s="2858">
        <v>25</v>
      </c>
      <c r="B99" s="3386"/>
      <c r="C99" s="2832" t="s">
        <v>2700</v>
      </c>
      <c r="D99" s="2832" t="s">
        <v>2701</v>
      </c>
      <c r="E99" s="2858">
        <v>0.1</v>
      </c>
      <c r="F99" s="2858">
        <v>15</v>
      </c>
    </row>
    <row r="100" spans="1:6" ht="24">
      <c r="A100" s="2858">
        <v>26</v>
      </c>
      <c r="B100" s="3386"/>
      <c r="C100" s="2832" t="s">
        <v>2702</v>
      </c>
      <c r="D100" s="2832" t="s">
        <v>2703</v>
      </c>
      <c r="E100" s="2858">
        <v>0.1</v>
      </c>
      <c r="F100" s="2858">
        <v>15</v>
      </c>
    </row>
    <row r="101" spans="1:6" ht="24">
      <c r="A101" s="2858">
        <v>27</v>
      </c>
      <c r="B101" s="3386"/>
      <c r="C101" s="2832" t="s">
        <v>2704</v>
      </c>
      <c r="D101" s="2832" t="s">
        <v>2705</v>
      </c>
      <c r="E101" s="2858">
        <v>0.1</v>
      </c>
      <c r="F101" s="2858">
        <v>15</v>
      </c>
    </row>
    <row r="102" spans="1:6" ht="24">
      <c r="A102" s="2858">
        <v>28</v>
      </c>
      <c r="B102" s="3386"/>
      <c r="C102" s="2832" t="s">
        <v>2706</v>
      </c>
      <c r="D102" s="2832" t="s">
        <v>2707</v>
      </c>
      <c r="E102" s="2858">
        <v>0.1</v>
      </c>
      <c r="F102" s="2858">
        <v>15</v>
      </c>
    </row>
    <row r="103" spans="1:6" ht="24">
      <c r="A103" s="2858">
        <v>29</v>
      </c>
      <c r="B103" s="3386"/>
      <c r="C103" s="2832" t="s">
        <v>2708</v>
      </c>
      <c r="D103" s="2832" t="s">
        <v>2709</v>
      </c>
      <c r="E103" s="2858">
        <v>0.1</v>
      </c>
      <c r="F103" s="2858">
        <v>15</v>
      </c>
    </row>
    <row r="104" spans="1:6" ht="24">
      <c r="A104" s="2858">
        <v>30</v>
      </c>
      <c r="B104" s="3386"/>
      <c r="C104" s="2832" t="s">
        <v>2710</v>
      </c>
      <c r="D104" s="2832" t="s">
        <v>2711</v>
      </c>
      <c r="E104" s="2858">
        <v>0.1</v>
      </c>
      <c r="F104" s="2858">
        <v>15</v>
      </c>
    </row>
    <row r="105" spans="1:6" ht="24">
      <c r="A105" s="2858">
        <v>31</v>
      </c>
      <c r="B105" s="3386"/>
      <c r="C105" s="2832" t="s">
        <v>2712</v>
      </c>
      <c r="D105" s="2832" t="s">
        <v>2713</v>
      </c>
      <c r="E105" s="2858">
        <v>0.1</v>
      </c>
      <c r="F105" s="2858">
        <v>15</v>
      </c>
    </row>
    <row r="106" spans="1:6" ht="24">
      <c r="A106" s="2858">
        <v>32</v>
      </c>
      <c r="B106" s="3386"/>
      <c r="C106" s="2832" t="s">
        <v>2714</v>
      </c>
      <c r="D106" s="2832" t="s">
        <v>2715</v>
      </c>
      <c r="E106" s="2858">
        <v>0.1</v>
      </c>
      <c r="F106" s="2858">
        <v>15</v>
      </c>
    </row>
    <row r="107" spans="1:6" ht="24">
      <c r="A107" s="2858">
        <v>33</v>
      </c>
      <c r="B107" s="3386"/>
      <c r="C107" s="2832" t="s">
        <v>2716</v>
      </c>
      <c r="D107" s="2832" t="s">
        <v>2717</v>
      </c>
      <c r="E107" s="2858">
        <v>0.1</v>
      </c>
      <c r="F107" s="2858">
        <v>15</v>
      </c>
    </row>
    <row r="108" spans="1:6" ht="24">
      <c r="A108" s="2858">
        <v>34</v>
      </c>
      <c r="B108" s="3385"/>
      <c r="C108" s="2832" t="s">
        <v>2718</v>
      </c>
      <c r="D108" s="2832" t="s">
        <v>2719</v>
      </c>
      <c r="E108" s="2858">
        <v>0.1</v>
      </c>
      <c r="F108" s="2858">
        <v>15</v>
      </c>
    </row>
    <row r="109" spans="1:6" ht="36">
      <c r="A109" s="2858">
        <v>35</v>
      </c>
      <c r="B109" s="3384" t="s">
        <v>2720</v>
      </c>
      <c r="C109" s="2858" t="s">
        <v>2721</v>
      </c>
      <c r="D109" s="2832" t="s">
        <v>2722</v>
      </c>
      <c r="E109" s="2858">
        <v>0.15</v>
      </c>
      <c r="F109" s="2858">
        <v>20</v>
      </c>
    </row>
    <row r="110" spans="1:6" ht="24">
      <c r="A110" s="2858">
        <v>36</v>
      </c>
      <c r="B110" s="3386"/>
      <c r="C110" s="2858" t="s">
        <v>2723</v>
      </c>
      <c r="D110" s="2832" t="s">
        <v>2724</v>
      </c>
      <c r="E110" s="2858">
        <v>0.15</v>
      </c>
      <c r="F110" s="2858">
        <v>20</v>
      </c>
    </row>
    <row r="111" spans="1:6" ht="24">
      <c r="A111" s="2858">
        <v>37</v>
      </c>
      <c r="B111" s="3386"/>
      <c r="C111" s="2858" t="s">
        <v>2725</v>
      </c>
      <c r="D111" s="2832" t="s">
        <v>2726</v>
      </c>
      <c r="E111" s="2858">
        <v>0.15</v>
      </c>
      <c r="F111" s="2858">
        <v>20</v>
      </c>
    </row>
    <row r="112" spans="1:6" ht="24">
      <c r="A112" s="2858">
        <v>38</v>
      </c>
      <c r="B112" s="3386"/>
      <c r="C112" s="2858" t="s">
        <v>2727</v>
      </c>
      <c r="D112" s="2832" t="s">
        <v>2728</v>
      </c>
      <c r="E112" s="2858">
        <v>0.1</v>
      </c>
      <c r="F112" s="2858">
        <v>15</v>
      </c>
    </row>
    <row r="113" spans="1:6" ht="24">
      <c r="A113" s="2858">
        <v>39</v>
      </c>
      <c r="B113" s="3386"/>
      <c r="C113" s="2858" t="s">
        <v>2729</v>
      </c>
      <c r="D113" s="2832" t="s">
        <v>2730</v>
      </c>
      <c r="E113" s="2858">
        <v>0.1</v>
      </c>
      <c r="F113" s="2858">
        <v>15</v>
      </c>
    </row>
    <row r="114" spans="1:6" ht="24">
      <c r="A114" s="2858">
        <v>40</v>
      </c>
      <c r="B114" s="3385"/>
      <c r="C114" s="2858" t="s">
        <v>2731</v>
      </c>
      <c r="D114" s="2832" t="s">
        <v>2732</v>
      </c>
      <c r="E114" s="2858">
        <v>0.1</v>
      </c>
      <c r="F114" s="2858">
        <v>15</v>
      </c>
    </row>
    <row r="115" spans="1:6" ht="24">
      <c r="A115" s="2858">
        <v>41</v>
      </c>
      <c r="B115" s="3383" t="s">
        <v>2733</v>
      </c>
      <c r="C115" s="2858" t="s">
        <v>2734</v>
      </c>
      <c r="D115" s="2832" t="s">
        <v>2735</v>
      </c>
      <c r="E115" s="2858">
        <v>0.1</v>
      </c>
      <c r="F115" s="2858">
        <v>15</v>
      </c>
    </row>
    <row r="116" spans="1:6" ht="24">
      <c r="A116" s="2858">
        <v>42</v>
      </c>
      <c r="B116" s="3383"/>
      <c r="C116" s="2858" t="s">
        <v>2736</v>
      </c>
      <c r="D116" s="2832" t="s">
        <v>2737</v>
      </c>
      <c r="E116" s="2858">
        <v>0.1</v>
      </c>
      <c r="F116" s="2858">
        <v>15</v>
      </c>
    </row>
    <row r="117" spans="1:6" ht="24">
      <c r="A117" s="2858">
        <v>43</v>
      </c>
      <c r="B117" s="3383"/>
      <c r="C117" s="2858" t="s">
        <v>2738</v>
      </c>
      <c r="D117" s="2832" t="s">
        <v>2739</v>
      </c>
      <c r="E117" s="2858">
        <v>0.1</v>
      </c>
      <c r="F117" s="2858">
        <v>15</v>
      </c>
    </row>
    <row r="118" spans="1:6" ht="24">
      <c r="A118" s="2858">
        <v>44</v>
      </c>
      <c r="B118" s="3384" t="s">
        <v>2740</v>
      </c>
      <c r="C118" s="2858" t="s">
        <v>2741</v>
      </c>
      <c r="D118" s="2832" t="s">
        <v>2742</v>
      </c>
      <c r="E118" s="2858">
        <v>0.1</v>
      </c>
      <c r="F118" s="2858">
        <v>15</v>
      </c>
    </row>
    <row r="119" spans="1:6" ht="24">
      <c r="A119" s="2858">
        <v>45</v>
      </c>
      <c r="B119" s="3385"/>
      <c r="C119" s="2832" t="s">
        <v>2743</v>
      </c>
      <c r="D119" s="2832" t="s">
        <v>2744</v>
      </c>
      <c r="E119" s="2858">
        <v>0.1</v>
      </c>
      <c r="F119" s="2858">
        <v>15</v>
      </c>
    </row>
    <row r="120" spans="1:6" ht="24">
      <c r="A120" s="2858">
        <v>46</v>
      </c>
      <c r="B120" s="3384" t="s">
        <v>2745</v>
      </c>
      <c r="C120" s="2858" t="s">
        <v>2746</v>
      </c>
      <c r="D120" s="2832" t="s">
        <v>2747</v>
      </c>
      <c r="E120" s="2858">
        <v>0.1</v>
      </c>
      <c r="F120" s="2858">
        <v>15</v>
      </c>
    </row>
    <row r="121" spans="1:6" ht="24">
      <c r="A121" s="2858">
        <v>47</v>
      </c>
      <c r="B121" s="3385"/>
      <c r="C121" s="2858" t="s">
        <v>2748</v>
      </c>
      <c r="D121" s="2832" t="s">
        <v>2749</v>
      </c>
      <c r="E121" s="2858">
        <v>0.1</v>
      </c>
      <c r="F121" s="2858">
        <v>15</v>
      </c>
    </row>
    <row r="122" spans="1:6" ht="24">
      <c r="A122" s="2858">
        <v>48</v>
      </c>
      <c r="B122" s="3384" t="s">
        <v>2750</v>
      </c>
      <c r="C122" s="2858" t="s">
        <v>2751</v>
      </c>
      <c r="D122" s="2832" t="s">
        <v>2752</v>
      </c>
      <c r="E122" s="2858">
        <v>0.1</v>
      </c>
      <c r="F122" s="2858">
        <v>15</v>
      </c>
    </row>
    <row r="123" spans="1:6" ht="24">
      <c r="A123" s="2858">
        <v>49</v>
      </c>
      <c r="B123" s="3385"/>
      <c r="C123" s="2858" t="s">
        <v>2753</v>
      </c>
      <c r="D123" s="2832" t="s">
        <v>2754</v>
      </c>
      <c r="E123" s="2858">
        <v>0.1</v>
      </c>
      <c r="F123" s="2858">
        <v>15</v>
      </c>
    </row>
    <row r="124" spans="1:6" ht="24">
      <c r="A124" s="2858">
        <v>50</v>
      </c>
      <c r="B124" s="3383" t="s">
        <v>2755</v>
      </c>
      <c r="C124" s="2858" t="s">
        <v>2756</v>
      </c>
      <c r="D124" s="2832" t="s">
        <v>2757</v>
      </c>
      <c r="E124" s="2858">
        <v>0.1</v>
      </c>
      <c r="F124" s="2858">
        <v>15</v>
      </c>
    </row>
    <row r="125" spans="1:6" ht="24">
      <c r="A125" s="2858">
        <v>51</v>
      </c>
      <c r="B125" s="3383"/>
      <c r="C125" s="2858" t="s">
        <v>2758</v>
      </c>
      <c r="D125" s="2832" t="s">
        <v>2759</v>
      </c>
      <c r="E125" s="2858">
        <v>0.1</v>
      </c>
      <c r="F125" s="2858">
        <v>15</v>
      </c>
    </row>
    <row r="126" spans="1:6" ht="24">
      <c r="A126" s="2858">
        <v>52</v>
      </c>
      <c r="B126" s="3383" t="s">
        <v>2760</v>
      </c>
      <c r="C126" s="2858" t="s">
        <v>2761</v>
      </c>
      <c r="D126" s="2832" t="s">
        <v>2762</v>
      </c>
      <c r="E126" s="2858">
        <v>0.1</v>
      </c>
      <c r="F126" s="2858">
        <v>15</v>
      </c>
    </row>
    <row r="127" spans="1:6" ht="24">
      <c r="A127" s="2858">
        <v>53</v>
      </c>
      <c r="B127" s="3383"/>
      <c r="C127" s="2858" t="s">
        <v>2763</v>
      </c>
      <c r="D127" s="2832" t="s">
        <v>2764</v>
      </c>
      <c r="E127" s="2858">
        <v>0.1</v>
      </c>
      <c r="F127" s="2858">
        <v>15</v>
      </c>
    </row>
    <row r="128" spans="1:6" ht="24">
      <c r="A128" s="2858">
        <v>54</v>
      </c>
      <c r="B128" s="2858" t="s">
        <v>2765</v>
      </c>
      <c r="C128" s="2858" t="s">
        <v>2766</v>
      </c>
      <c r="D128" s="2832" t="s">
        <v>2767</v>
      </c>
      <c r="E128" s="2858">
        <v>0.1</v>
      </c>
      <c r="F128" s="2858">
        <v>15</v>
      </c>
    </row>
    <row r="129" spans="1:6" ht="24">
      <c r="A129" s="2858">
        <v>55</v>
      </c>
      <c r="B129" s="3383" t="s">
        <v>2768</v>
      </c>
      <c r="C129" s="2858" t="s">
        <v>2769</v>
      </c>
      <c r="D129" s="2832" t="s">
        <v>2770</v>
      </c>
      <c r="E129" s="2858">
        <v>0.1</v>
      </c>
      <c r="F129" s="2858">
        <v>15</v>
      </c>
    </row>
    <row r="130" spans="1:6" ht="24">
      <c r="A130" s="2858">
        <v>56</v>
      </c>
      <c r="B130" s="3383"/>
      <c r="C130" s="2858" t="s">
        <v>2771</v>
      </c>
      <c r="D130" s="2832" t="s">
        <v>2772</v>
      </c>
      <c r="E130" s="2858">
        <v>0.1</v>
      </c>
      <c r="F130" s="2858">
        <v>15</v>
      </c>
    </row>
    <row r="131" spans="1:6" ht="24">
      <c r="A131" s="2858">
        <v>57</v>
      </c>
      <c r="B131" s="3383"/>
      <c r="C131" s="2858" t="s">
        <v>2773</v>
      </c>
      <c r="D131" s="2832" t="s">
        <v>2774</v>
      </c>
      <c r="E131" s="2858">
        <v>0.1</v>
      </c>
      <c r="F131" s="2858">
        <v>15</v>
      </c>
    </row>
    <row r="132" spans="1:6" ht="24">
      <c r="A132" s="2858">
        <v>58</v>
      </c>
      <c r="B132" s="3383" t="s">
        <v>2775</v>
      </c>
      <c r="C132" s="2858" t="s">
        <v>2776</v>
      </c>
      <c r="D132" s="2832" t="s">
        <v>2777</v>
      </c>
      <c r="E132" s="2858">
        <v>0.1</v>
      </c>
      <c r="F132" s="2858">
        <v>15</v>
      </c>
    </row>
    <row r="133" spans="1:6" ht="24">
      <c r="A133" s="2858">
        <v>59</v>
      </c>
      <c r="B133" s="3383"/>
      <c r="C133" s="2858" t="s">
        <v>2778</v>
      </c>
      <c r="D133" s="2832" t="s">
        <v>2779</v>
      </c>
      <c r="E133" s="2858">
        <v>0.1</v>
      </c>
      <c r="F133" s="2858">
        <v>15</v>
      </c>
    </row>
    <row r="134" spans="1:6" ht="24">
      <c r="A134" s="2858">
        <v>60</v>
      </c>
      <c r="B134" s="3384" t="s">
        <v>2780</v>
      </c>
      <c r="C134" s="2858" t="s">
        <v>2781</v>
      </c>
      <c r="D134" s="2832" t="s">
        <v>2782</v>
      </c>
      <c r="E134" s="2858">
        <v>0.1</v>
      </c>
      <c r="F134" s="2858">
        <v>15</v>
      </c>
    </row>
    <row r="135" spans="1:6" ht="24">
      <c r="A135" s="2858">
        <v>61</v>
      </c>
      <c r="B135" s="3385"/>
      <c r="C135" s="2858" t="s">
        <v>2783</v>
      </c>
      <c r="D135" s="2832" t="s">
        <v>2784</v>
      </c>
      <c r="E135" s="2858">
        <v>0.1</v>
      </c>
      <c r="F135" s="2858">
        <v>15</v>
      </c>
    </row>
    <row r="136" spans="1:6" ht="24">
      <c r="A136" s="2858">
        <v>62</v>
      </c>
      <c r="B136" s="2858" t="s">
        <v>2785</v>
      </c>
      <c r="C136" s="2858" t="s">
        <v>2786</v>
      </c>
      <c r="D136" s="2832" t="s">
        <v>2787</v>
      </c>
      <c r="E136" s="2858">
        <v>0.1</v>
      </c>
      <c r="F136" s="2858">
        <v>15</v>
      </c>
    </row>
    <row r="137" spans="1:6" ht="24">
      <c r="A137" s="2858">
        <v>63</v>
      </c>
      <c r="B137" s="3383" t="s">
        <v>2788</v>
      </c>
      <c r="C137" s="2858" t="s">
        <v>2789</v>
      </c>
      <c r="D137" s="2832" t="s">
        <v>2790</v>
      </c>
      <c r="E137" s="2858">
        <v>0.1</v>
      </c>
      <c r="F137" s="2858">
        <v>15</v>
      </c>
    </row>
    <row r="138" spans="1:6" ht="24">
      <c r="A138" s="2858">
        <v>64</v>
      </c>
      <c r="B138" s="3383"/>
      <c r="C138" s="2858" t="s">
        <v>2791</v>
      </c>
      <c r="D138" s="2832" t="s">
        <v>2792</v>
      </c>
      <c r="E138" s="2858">
        <v>0.1</v>
      </c>
      <c r="F138" s="2858">
        <v>15</v>
      </c>
    </row>
    <row r="139" spans="1:6" ht="24">
      <c r="A139" s="2858">
        <v>65</v>
      </c>
      <c r="B139" s="2858" t="s">
        <v>2793</v>
      </c>
      <c r="C139" s="2858" t="s">
        <v>2794</v>
      </c>
      <c r="D139" s="2832" t="s">
        <v>2795</v>
      </c>
      <c r="E139" s="2858">
        <v>0.1</v>
      </c>
      <c r="F139" s="2858">
        <v>15</v>
      </c>
    </row>
    <row r="140" spans="1:6" ht="14.4">
      <c r="A140" s="2858"/>
      <c r="B140" s="2858"/>
      <c r="C140" s="2858"/>
      <c r="D140" s="2858"/>
      <c r="E140" s="2858" t="s">
        <v>2796</v>
      </c>
      <c r="F140" s="2858" t="s">
        <v>2796</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80"/>
  </cols>
  <sheetData>
    <row r="1" spans="1:20" ht="16.2" thickBot="1">
      <c r="A1" s="2866" t="s">
        <v>2797</v>
      </c>
      <c r="B1" s="2866"/>
      <c r="C1" s="2866"/>
      <c r="D1" s="2866"/>
      <c r="E1" s="2866"/>
      <c r="F1" s="2866"/>
      <c r="G1" s="2866"/>
      <c r="H1" s="2866"/>
      <c r="I1" s="2866"/>
      <c r="J1" s="2866"/>
      <c r="K1" s="2866"/>
      <c r="L1" s="2866"/>
      <c r="M1" s="2866"/>
      <c r="N1" s="707"/>
    </row>
    <row r="2" spans="1:20">
      <c r="A2" s="2867" t="s">
        <v>2798</v>
      </c>
      <c r="B2" s="2868" t="s">
        <v>2594</v>
      </c>
      <c r="C2" s="2868" t="s">
        <v>2595</v>
      </c>
      <c r="D2" s="2868" t="s">
        <v>2596</v>
      </c>
      <c r="E2" s="2868" t="s">
        <v>2597</v>
      </c>
      <c r="F2" s="2868" t="s">
        <v>2598</v>
      </c>
      <c r="G2" s="2868" t="s">
        <v>2599</v>
      </c>
      <c r="H2" s="2869" t="s">
        <v>2600</v>
      </c>
      <c r="I2" s="2869" t="s">
        <v>2601</v>
      </c>
      <c r="J2" s="2870" t="s">
        <v>2602</v>
      </c>
      <c r="K2" s="2870" t="s">
        <v>2603</v>
      </c>
      <c r="L2" s="2870" t="s">
        <v>2604</v>
      </c>
      <c r="M2" s="2871" t="s">
        <v>2605</v>
      </c>
      <c r="Q2" s="2881" t="s">
        <v>2803</v>
      </c>
      <c r="R2" s="2881" t="s">
        <v>2804</v>
      </c>
      <c r="S2" s="2881" t="s">
        <v>2805</v>
      </c>
      <c r="T2" s="2881" t="s">
        <v>2806</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6.2" thickBot="1">
      <c r="A93" s="2866" t="s">
        <v>2799</v>
      </c>
      <c r="B93" s="2866"/>
      <c r="C93" s="2866"/>
      <c r="D93" s="2866"/>
      <c r="E93" s="2866"/>
      <c r="F93" s="2866"/>
      <c r="G93" s="2866"/>
      <c r="H93" s="2866"/>
      <c r="I93" s="2866"/>
      <c r="J93" s="2866"/>
      <c r="K93" s="2866"/>
      <c r="L93" s="2866"/>
      <c r="M93" s="2866"/>
    </row>
    <row r="94" spans="1:20">
      <c r="A94" s="2867" t="s">
        <v>2798</v>
      </c>
      <c r="B94" s="2868" t="s">
        <v>2594</v>
      </c>
      <c r="C94" s="2868" t="s">
        <v>2595</v>
      </c>
      <c r="D94" s="2868" t="s">
        <v>2596</v>
      </c>
      <c r="E94" s="2868" t="s">
        <v>2597</v>
      </c>
      <c r="F94" s="2868" t="s">
        <v>2598</v>
      </c>
      <c r="G94" s="2868" t="s">
        <v>2599</v>
      </c>
      <c r="H94" s="2869" t="s">
        <v>2600</v>
      </c>
      <c r="I94" s="2869" t="s">
        <v>2601</v>
      </c>
      <c r="J94" s="2870" t="s">
        <v>2602</v>
      </c>
      <c r="K94" s="2870" t="s">
        <v>2603</v>
      </c>
      <c r="L94" s="2870" t="s">
        <v>2604</v>
      </c>
      <c r="M94" s="2871" t="s">
        <v>2605</v>
      </c>
      <c r="N94">
        <f>SUMPRODUCT((A95:A184=ROUNDDOWN(基准地价修正!G3,1))*(B94:M94=基准地价修正!G2)*(B95:M184))</f>
        <v>0</v>
      </c>
      <c r="Q94" s="2881" t="s">
        <v>2803</v>
      </c>
      <c r="R94" s="2881" t="s">
        <v>2804</v>
      </c>
      <c r="S94" s="2881" t="s">
        <v>2805</v>
      </c>
      <c r="T94" s="2881" t="s">
        <v>2806</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6">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6">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6.2" thickBot="1">
      <c r="A185" s="2866" t="s">
        <v>2800</v>
      </c>
      <c r="B185" s="2866"/>
      <c r="C185" s="2866"/>
      <c r="D185" s="2866"/>
      <c r="E185" s="2866"/>
      <c r="F185" s="2866"/>
      <c r="G185" s="2866"/>
      <c r="H185" s="2866"/>
      <c r="I185" s="2866"/>
      <c r="J185" s="2866"/>
      <c r="K185" s="2866"/>
      <c r="L185" s="2866"/>
      <c r="M185" s="2866"/>
    </row>
    <row r="186" spans="1:20">
      <c r="A186" s="2867" t="s">
        <v>2798</v>
      </c>
      <c r="B186" s="2868" t="s">
        <v>2594</v>
      </c>
      <c r="C186" s="2868" t="s">
        <v>2595</v>
      </c>
      <c r="D186" s="2868" t="s">
        <v>2596</v>
      </c>
      <c r="E186" s="2868" t="s">
        <v>2597</v>
      </c>
      <c r="F186" s="2868" t="s">
        <v>2598</v>
      </c>
      <c r="G186" s="2868" t="s">
        <v>2599</v>
      </c>
      <c r="H186" s="2869" t="s">
        <v>2600</v>
      </c>
      <c r="I186" s="2869" t="s">
        <v>2601</v>
      </c>
      <c r="J186" s="2870" t="s">
        <v>2602</v>
      </c>
      <c r="K186" s="2870" t="s">
        <v>2603</v>
      </c>
      <c r="L186" s="2870" t="s">
        <v>2604</v>
      </c>
      <c r="M186" s="2871" t="s">
        <v>2605</v>
      </c>
      <c r="Q186" s="2881" t="s">
        <v>2803</v>
      </c>
      <c r="R186" s="2881" t="s">
        <v>2804</v>
      </c>
      <c r="S186" s="2881" t="s">
        <v>2805</v>
      </c>
      <c r="T186" s="2881" t="s">
        <v>2806</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6.2" thickBot="1">
      <c r="A277" s="2866" t="s">
        <v>2801</v>
      </c>
      <c r="B277" s="2866"/>
      <c r="C277" s="2866"/>
      <c r="D277" s="2866"/>
      <c r="E277" s="2866"/>
      <c r="F277" s="2866"/>
      <c r="G277" s="2866"/>
      <c r="H277" s="2866"/>
      <c r="I277" s="2866"/>
      <c r="J277" s="2866"/>
      <c r="K277" s="2866"/>
      <c r="L277" s="2866"/>
      <c r="M277" s="2866"/>
    </row>
    <row r="278" spans="1:21">
      <c r="A278" s="2867" t="s">
        <v>2798</v>
      </c>
      <c r="B278" s="2868" t="s">
        <v>2594</v>
      </c>
      <c r="C278" s="2868" t="s">
        <v>2595</v>
      </c>
      <c r="D278" s="2868" t="s">
        <v>2596</v>
      </c>
      <c r="E278" s="2868" t="s">
        <v>2597</v>
      </c>
      <c r="F278" s="2868" t="s">
        <v>2598</v>
      </c>
      <c r="G278" s="2868" t="s">
        <v>2599</v>
      </c>
      <c r="H278" s="2869" t="s">
        <v>2600</v>
      </c>
      <c r="I278" s="2869" t="s">
        <v>2601</v>
      </c>
      <c r="J278" s="2870" t="s">
        <v>2602</v>
      </c>
      <c r="K278" s="2870" t="s">
        <v>2603</v>
      </c>
      <c r="L278" s="2870" t="s">
        <v>2604</v>
      </c>
      <c r="M278" s="2871" t="s">
        <v>2605</v>
      </c>
      <c r="Q278" s="2881" t="s">
        <v>2803</v>
      </c>
      <c r="R278" s="2881" t="s">
        <v>2804</v>
      </c>
      <c r="S278" s="2881" t="s">
        <v>2807</v>
      </c>
      <c r="T278" s="2881" t="s">
        <v>2808</v>
      </c>
      <c r="U278" s="2881" t="s">
        <v>2806</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6.2" thickBot="1">
      <c r="A369" s="2866" t="s">
        <v>2802</v>
      </c>
      <c r="B369" s="2879"/>
      <c r="C369" s="2879"/>
      <c r="D369" s="2879"/>
      <c r="E369" s="2879"/>
      <c r="F369" s="2879"/>
      <c r="G369" s="2879"/>
      <c r="H369" s="2879"/>
      <c r="I369" s="2879"/>
      <c r="J369" s="2879"/>
      <c r="K369" s="2879"/>
      <c r="L369" s="2879"/>
      <c r="M369" s="2879"/>
    </row>
    <row r="370" spans="1:20">
      <c r="A370" s="2867" t="s">
        <v>2798</v>
      </c>
      <c r="B370" s="2868" t="s">
        <v>2594</v>
      </c>
      <c r="C370" s="2868" t="s">
        <v>2595</v>
      </c>
      <c r="D370" s="2868" t="s">
        <v>2596</v>
      </c>
      <c r="E370" s="2868" t="s">
        <v>2597</v>
      </c>
      <c r="F370" s="2868" t="s">
        <v>2598</v>
      </c>
      <c r="G370" s="2868" t="s">
        <v>2599</v>
      </c>
      <c r="H370" s="2869" t="s">
        <v>2600</v>
      </c>
      <c r="I370" s="2869" t="s">
        <v>2601</v>
      </c>
      <c r="J370" s="2870" t="s">
        <v>2602</v>
      </c>
      <c r="K370" s="2870" t="s">
        <v>2603</v>
      </c>
      <c r="L370" s="2870" t="s">
        <v>2604</v>
      </c>
      <c r="M370" s="2871" t="s">
        <v>2605</v>
      </c>
      <c r="N370">
        <f>SUMPRODUCT((A371:A460=ROUNDDOWN(基准地价修正!G3,1))*(B370:M370=基准地价修正!G2)*(B371:M460))</f>
        <v>0</v>
      </c>
      <c r="Q370" s="2881" t="s">
        <v>2803</v>
      </c>
      <c r="R370" s="2881" t="s">
        <v>2804</v>
      </c>
      <c r="S370" s="2881" t="s">
        <v>2805</v>
      </c>
      <c r="T370" s="2881" t="s">
        <v>2806</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265" t="s">
        <v>94</v>
      </c>
    </row>
    <row r="43" spans="1:7" ht="13.5" customHeight="1">
      <c r="A43" s="734" t="s">
        <v>347</v>
      </c>
      <c r="B43" s="207" t="s">
        <v>426</v>
      </c>
      <c r="C43" s="230" t="e">
        <f ca="1">ROUND(IF('数据-取费表'!B22&lt;=1,C39*F22*'数据-取费表'!B21/2,C39*(POWER((1+F22),'数据-取费表'!B21/2)-1)),0)</f>
        <v>#VALUE!</v>
      </c>
      <c r="D43" s="230"/>
      <c r="E43" s="230"/>
      <c r="F43" s="231"/>
      <c r="G43" s="3266"/>
    </row>
    <row r="44" spans="1:7" ht="13.5" customHeight="1">
      <c r="A44" s="734" t="s">
        <v>348</v>
      </c>
      <c r="B44" s="207" t="s">
        <v>428</v>
      </c>
      <c r="C44" s="230" t="e">
        <f ca="1">ROUND(IF('数据-取费表'!B22&lt;=1,C40*F22*'数据-取费表'!B21/2,C40*(POWER((1+F22),'数据-取费表'!B21/2)-1)),4)</f>
        <v>#VALUE!</v>
      </c>
      <c r="D44" s="230"/>
      <c r="E44" s="230"/>
      <c r="F44" s="231"/>
      <c r="G44" s="3267"/>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6"/>
      <c r="C2" s="3176"/>
      <c r="D2" s="3176"/>
      <c r="E2" s="3176"/>
    </row>
    <row r="3" spans="1:5" ht="17.399999999999999">
      <c r="A3" s="3177" t="str">
        <f>IF(项目基本情况!B9="房地产市场价值","估价结果一览表（市场价值不需“结果表-1”）","估价结果一览表")</f>
        <v>估价结果一览表</v>
      </c>
      <c r="B3" s="3177"/>
      <c r="C3" s="3177"/>
      <c r="D3" s="3177"/>
      <c r="E3" s="3177"/>
    </row>
    <row r="4" spans="1:5" ht="18" thickBot="1">
      <c r="A4" s="1391"/>
      <c r="B4" s="3175" t="s">
        <v>917</v>
      </c>
      <c r="C4" s="3175"/>
      <c r="D4" s="3175"/>
      <c r="E4" s="1391"/>
    </row>
    <row r="5" spans="1:5" ht="16.2" thickTop="1">
      <c r="B5" s="3173" t="s">
        <v>909</v>
      </c>
      <c r="C5" s="1392" t="s">
        <v>910</v>
      </c>
      <c r="D5" s="797" t="e">
        <f ca="1">结果表!H101</f>
        <v>#REF!</v>
      </c>
    </row>
    <row r="6" spans="1:5" ht="15.6">
      <c r="B6" s="3173"/>
      <c r="C6" s="1392" t="s">
        <v>911</v>
      </c>
      <c r="D6" s="797" t="e">
        <f ca="1">NUMBERSTRING(INT(D5*10000),2)&amp;"元整"</f>
        <v>#REF!</v>
      </c>
    </row>
    <row r="7" spans="1:5" ht="15.6">
      <c r="B7" s="3178"/>
      <c r="C7" s="1393" t="s">
        <v>912</v>
      </c>
      <c r="D7" s="798" t="e">
        <f ca="1">结果表!H102</f>
        <v>#REF!</v>
      </c>
    </row>
    <row r="8" spans="1:5" ht="15.6">
      <c r="B8" s="3179" t="str">
        <f>结果表!E103</f>
        <v>2.估价师知悉的法定优先受偿款</v>
      </c>
      <c r="C8" s="1394" t="s">
        <v>913</v>
      </c>
      <c r="D8" s="798">
        <f>结果表!H103</f>
        <v>0</v>
      </c>
    </row>
    <row r="9" spans="1:5" ht="15.6">
      <c r="B9" s="3181"/>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2" t="str">
        <f>结果表!E107</f>
        <v>3.房地产抵押价值</v>
      </c>
      <c r="C13" s="1397" t="s">
        <v>910</v>
      </c>
      <c r="D13" s="800" t="e">
        <f ca="1">结果表!H107</f>
        <v>#REF!</v>
      </c>
    </row>
    <row r="14" spans="1:5" ht="15.6">
      <c r="B14" s="3173"/>
      <c r="C14" s="1392" t="s">
        <v>911</v>
      </c>
      <c r="D14" s="797" t="e">
        <f ca="1">NUMBERSTRING(INT(D13*10000),2)&amp;"元整"</f>
        <v>#REF!</v>
      </c>
    </row>
    <row r="15" spans="1:5" ht="15.6">
      <c r="B15" s="3178"/>
      <c r="C15" s="1393" t="s">
        <v>921</v>
      </c>
      <c r="D15" s="806" t="e">
        <f ca="1">结果表!H108</f>
        <v>#REF!</v>
      </c>
    </row>
    <row r="16" spans="1:5" ht="15.6">
      <c r="B16" s="3179" t="str">
        <f>结果表!E109</f>
        <v>——</v>
      </c>
      <c r="C16" s="1397" t="s">
        <v>922</v>
      </c>
      <c r="D16" s="1398" t="str">
        <f>结果表!H109</f>
        <v>——</v>
      </c>
    </row>
    <row r="17" spans="1:5" ht="15.6">
      <c r="B17" s="3180"/>
      <c r="C17" s="1392" t="s">
        <v>923</v>
      </c>
      <c r="D17" s="797" t="e">
        <f>NUMBERSTRING(INT(D16*10000),2)&amp;"元整"</f>
        <v>#VALUE!</v>
      </c>
    </row>
    <row r="18" spans="1:5" ht="15.6">
      <c r="B18" s="3181"/>
      <c r="C18" s="1393" t="s">
        <v>912</v>
      </c>
      <c r="D18" s="806" t="str">
        <f>结果表!H110</f>
        <v>——</v>
      </c>
    </row>
    <row r="19" spans="1:5" ht="15.6">
      <c r="B19" s="3172" t="str">
        <f>结果表!E111</f>
        <v>——</v>
      </c>
      <c r="C19" s="1397" t="s">
        <v>910</v>
      </c>
      <c r="D19" s="798" t="str">
        <f>结果表!H111</f>
        <v>——</v>
      </c>
    </row>
    <row r="20" spans="1:5" ht="15.6">
      <c r="B20" s="3173"/>
      <c r="C20" s="1392" t="s">
        <v>923</v>
      </c>
      <c r="D20" s="797" t="e">
        <f>NUMBERSTRING(INT(D19*10000),2)&amp;"元整"</f>
        <v>#VALUE!</v>
      </c>
    </row>
    <row r="21" spans="1:5" ht="16.2" thickBot="1">
      <c r="B21" s="3174"/>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8" customWidth="1"/>
    <col min="2" max="2" width="20" style="2968" customWidth="1"/>
    <col min="3" max="7" width="8.88671875" style="2968"/>
    <col min="8" max="16384" width="8.88671875" style="2814"/>
  </cols>
  <sheetData>
    <row r="1" spans="1:7">
      <c r="A1" s="3397" t="s">
        <v>3180</v>
      </c>
      <c r="B1" s="3397"/>
    </row>
    <row r="2" spans="1:7" ht="15" thickBot="1">
      <c r="A2" s="2969"/>
      <c r="B2" s="2969"/>
    </row>
    <row r="3" spans="1:7" ht="15" thickBot="1">
      <c r="A3" s="2969"/>
      <c r="B3" s="2969"/>
      <c r="C3" s="2970" t="s">
        <v>2810</v>
      </c>
      <c r="D3" s="2970" t="s">
        <v>2866</v>
      </c>
      <c r="E3" s="2970" t="s">
        <v>2812</v>
      </c>
      <c r="F3" s="2970" t="s">
        <v>2867</v>
      </c>
      <c r="G3" s="2970" t="s">
        <v>2630</v>
      </c>
    </row>
    <row r="4" spans="1:7" ht="15" thickBot="1">
      <c r="A4" s="2971" t="s">
        <v>2865</v>
      </c>
      <c r="B4" s="2972" t="s">
        <v>2871</v>
      </c>
      <c r="C4" s="2970"/>
      <c r="D4" s="2970"/>
      <c r="E4" s="2970"/>
      <c r="F4" s="2970"/>
      <c r="G4" s="2970"/>
    </row>
    <row r="5" spans="1:7">
      <c r="A5" s="2973" t="s">
        <v>2839</v>
      </c>
      <c r="B5" s="2974" t="s">
        <v>2853</v>
      </c>
      <c r="C5" s="2975">
        <v>9.8000000000000004E-2</v>
      </c>
      <c r="D5" s="2975">
        <v>8.6999999999999994E-2</v>
      </c>
      <c r="E5" s="2975">
        <v>8.6999999999999994E-2</v>
      </c>
      <c r="F5" s="2975">
        <v>9.8000000000000004E-2</v>
      </c>
      <c r="G5" s="2976">
        <v>9.5000000000000001E-2</v>
      </c>
    </row>
    <row r="6" spans="1:7">
      <c r="A6" s="2977" t="s">
        <v>144</v>
      </c>
      <c r="B6" s="2978" t="s">
        <v>2868</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5" thickBot="1">
      <c r="A9" s="2981" t="s">
        <v>144</v>
      </c>
      <c r="B9" s="2982" t="s">
        <v>154</v>
      </c>
      <c r="C9" s="2983">
        <v>0.1</v>
      </c>
      <c r="D9" s="2983">
        <v>0.1</v>
      </c>
      <c r="E9" s="2983">
        <v>0.1</v>
      </c>
      <c r="F9" s="2984"/>
      <c r="G9" s="2985">
        <v>0.1</v>
      </c>
    </row>
    <row r="10" spans="1:7">
      <c r="A10" s="2973" t="s">
        <v>184</v>
      </c>
      <c r="B10" s="2974" t="s">
        <v>2854</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2904</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5" thickBot="1">
      <c r="A29" s="2981" t="s">
        <v>184</v>
      </c>
      <c r="B29" s="2982" t="s">
        <v>2922</v>
      </c>
      <c r="C29" s="2987"/>
      <c r="D29" s="2983">
        <v>5.1999999999999998E-2</v>
      </c>
      <c r="E29" s="2983">
        <v>7.0000000000000007E-2</v>
      </c>
      <c r="F29" s="2987"/>
      <c r="G29" s="2985">
        <v>7.0999999999999994E-2</v>
      </c>
    </row>
    <row r="30" spans="1:7">
      <c r="A30" s="2988" t="s">
        <v>296</v>
      </c>
      <c r="B30" s="2974" t="s">
        <v>2855</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2841</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2925</v>
      </c>
      <c r="C50" s="2979">
        <v>9.8000000000000004E-2</v>
      </c>
      <c r="D50" s="2979">
        <v>7.2999999999999995E-2</v>
      </c>
      <c r="E50" s="2979">
        <v>7.0999999999999994E-2</v>
      </c>
      <c r="F50" s="2990"/>
      <c r="G50" s="2980">
        <v>7.2999999999999995E-2</v>
      </c>
    </row>
    <row r="51" spans="1:7">
      <c r="A51" s="2989" t="s">
        <v>296</v>
      </c>
      <c r="B51" s="2978" t="s">
        <v>2927</v>
      </c>
      <c r="C51" s="2979">
        <v>9.9000000000000005E-2</v>
      </c>
      <c r="D51" s="2979">
        <v>8.5000000000000006E-2</v>
      </c>
      <c r="E51" s="2979">
        <v>6.3E-2</v>
      </c>
      <c r="F51" s="2990"/>
      <c r="G51" s="2980">
        <v>9.6000000000000002E-2</v>
      </c>
    </row>
    <row r="52" spans="1:7">
      <c r="A52" s="2989" t="s">
        <v>296</v>
      </c>
      <c r="B52" s="2978" t="s">
        <v>2931</v>
      </c>
      <c r="C52" s="2979">
        <v>7.3999999999999996E-2</v>
      </c>
      <c r="D52" s="2979">
        <v>9.6000000000000002E-2</v>
      </c>
      <c r="E52" s="2979">
        <v>0.05</v>
      </c>
      <c r="F52" s="2990"/>
      <c r="G52" s="2980">
        <v>9.8000000000000004E-2</v>
      </c>
    </row>
    <row r="53" spans="1:7">
      <c r="A53" s="2989" t="s">
        <v>296</v>
      </c>
      <c r="B53" s="2978" t="s">
        <v>2936</v>
      </c>
      <c r="C53" s="2979">
        <v>8.5999999999999993E-2</v>
      </c>
      <c r="D53" s="2990"/>
      <c r="E53" s="2979">
        <v>9.1999999999999998E-2</v>
      </c>
      <c r="F53" s="2990"/>
      <c r="G53" s="2991"/>
    </row>
    <row r="54" spans="1:7" ht="15" thickBot="1">
      <c r="A54" s="2992" t="s">
        <v>296</v>
      </c>
      <c r="B54" s="2982" t="s">
        <v>2939</v>
      </c>
      <c r="C54" s="2983">
        <v>9.6000000000000002E-2</v>
      </c>
      <c r="D54" s="2984"/>
      <c r="E54" s="2993"/>
      <c r="F54" s="2984"/>
      <c r="G54" s="2994"/>
    </row>
    <row r="55" spans="1:7">
      <c r="A55" s="2988" t="s">
        <v>110</v>
      </c>
      <c r="B55" s="2974" t="s">
        <v>2856</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2937</v>
      </c>
      <c r="C78" s="2979">
        <v>0.1</v>
      </c>
      <c r="D78" s="2979">
        <v>8.5000000000000006E-2</v>
      </c>
      <c r="E78" s="2979">
        <v>9.6000000000000002E-2</v>
      </c>
      <c r="F78" s="2990"/>
      <c r="G78" s="2980">
        <v>9.6000000000000002E-2</v>
      </c>
    </row>
    <row r="79" spans="1:7">
      <c r="A79" s="2989" t="s">
        <v>110</v>
      </c>
      <c r="B79" s="2978" t="s">
        <v>2940</v>
      </c>
      <c r="C79" s="2979">
        <v>0.05</v>
      </c>
      <c r="D79" s="2979">
        <v>9.6000000000000002E-2</v>
      </c>
      <c r="E79" s="2979">
        <v>9.5000000000000001E-2</v>
      </c>
      <c r="F79" s="2990"/>
      <c r="G79" s="2980">
        <v>9.8000000000000004E-2</v>
      </c>
    </row>
    <row r="80" spans="1:7">
      <c r="A80" s="2989" t="s">
        <v>110</v>
      </c>
      <c r="B80" s="2978" t="s">
        <v>2944</v>
      </c>
      <c r="C80" s="2979">
        <v>8.5999999999999993E-2</v>
      </c>
      <c r="D80" s="2995"/>
      <c r="E80" s="2979">
        <v>0.1</v>
      </c>
      <c r="F80" s="2990"/>
      <c r="G80" s="2991"/>
    </row>
    <row r="81" spans="1:7">
      <c r="A81" s="2989" t="s">
        <v>110</v>
      </c>
      <c r="B81" s="2978" t="s">
        <v>2949</v>
      </c>
      <c r="C81" s="2979">
        <v>9.6000000000000002E-2</v>
      </c>
      <c r="D81" s="2990"/>
      <c r="E81" s="2979">
        <v>9.8000000000000004E-2</v>
      </c>
      <c r="F81" s="2990"/>
      <c r="G81" s="2991"/>
    </row>
    <row r="82" spans="1:7">
      <c r="A82" s="2989" t="s">
        <v>110</v>
      </c>
      <c r="B82" s="2978" t="s">
        <v>2956</v>
      </c>
      <c r="C82" s="2995"/>
      <c r="D82" s="2990"/>
      <c r="E82" s="2979">
        <v>7.6999999999999999E-2</v>
      </c>
      <c r="F82" s="2990"/>
      <c r="G82" s="2991"/>
    </row>
    <row r="83" spans="1:7">
      <c r="A83" s="2989" t="s">
        <v>110</v>
      </c>
      <c r="B83" s="2978" t="s">
        <v>2962</v>
      </c>
      <c r="C83" s="2990"/>
      <c r="D83" s="2990"/>
      <c r="E83" s="2990"/>
      <c r="F83" s="2979">
        <v>0.1</v>
      </c>
      <c r="G83" s="2996"/>
    </row>
    <row r="84" spans="1:7">
      <c r="A84" s="2989" t="s">
        <v>110</v>
      </c>
      <c r="B84" s="2978" t="s">
        <v>2969</v>
      </c>
      <c r="C84" s="2990"/>
      <c r="D84" s="2990"/>
      <c r="E84" s="2990"/>
      <c r="F84" s="2979">
        <v>0.1</v>
      </c>
      <c r="G84" s="2996"/>
    </row>
    <row r="85" spans="1:7">
      <c r="A85" s="2989" t="s">
        <v>110</v>
      </c>
      <c r="B85" s="2978" t="s">
        <v>2976</v>
      </c>
      <c r="C85" s="2990"/>
      <c r="D85" s="2990"/>
      <c r="E85" s="2990"/>
      <c r="F85" s="2979">
        <v>0.1</v>
      </c>
      <c r="G85" s="2996"/>
    </row>
    <row r="86" spans="1:7" ht="15" thickBot="1">
      <c r="A86" s="2992" t="s">
        <v>110</v>
      </c>
      <c r="B86" s="2982" t="s">
        <v>2981</v>
      </c>
      <c r="C86" s="2983">
        <v>9.8000000000000004E-2</v>
      </c>
      <c r="D86" s="2983">
        <v>9.8000000000000004E-2</v>
      </c>
      <c r="E86" s="2983">
        <v>9.6000000000000002E-2</v>
      </c>
      <c r="F86" s="2993"/>
      <c r="G86" s="2985">
        <v>0.1</v>
      </c>
    </row>
    <row r="87" spans="1:7">
      <c r="A87" s="2988" t="s">
        <v>303</v>
      </c>
      <c r="B87" s="2974" t="s">
        <v>2857</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2950</v>
      </c>
      <c r="C113" s="2979">
        <v>0.1</v>
      </c>
      <c r="D113" s="2979">
        <v>0.1</v>
      </c>
      <c r="E113" s="2990"/>
      <c r="F113" s="2990"/>
      <c r="G113" s="2980">
        <v>0.1</v>
      </c>
    </row>
    <row r="114" spans="1:7">
      <c r="A114" s="2989" t="s">
        <v>303</v>
      </c>
      <c r="B114" s="2978" t="s">
        <v>2957</v>
      </c>
      <c r="C114" s="2979">
        <v>9.7000000000000003E-2</v>
      </c>
      <c r="D114" s="2979">
        <v>9.7000000000000003E-2</v>
      </c>
      <c r="E114" s="2990"/>
      <c r="F114" s="2990"/>
      <c r="G114" s="2980">
        <v>9.9000000000000005E-2</v>
      </c>
    </row>
    <row r="115" spans="1:7">
      <c r="A115" s="2989" t="s">
        <v>303</v>
      </c>
      <c r="B115" s="2978" t="s">
        <v>2963</v>
      </c>
      <c r="C115" s="2979">
        <v>0.1</v>
      </c>
      <c r="D115" s="2979">
        <v>0.1</v>
      </c>
      <c r="E115" s="2990"/>
      <c r="F115" s="2990"/>
      <c r="G115" s="2980">
        <v>0.1</v>
      </c>
    </row>
    <row r="116" spans="1:7">
      <c r="A116" s="2989" t="s">
        <v>303</v>
      </c>
      <c r="B116" s="2978" t="s">
        <v>2970</v>
      </c>
      <c r="C116" s="2979">
        <v>0.1</v>
      </c>
      <c r="D116" s="2979">
        <v>0.1</v>
      </c>
      <c r="E116" s="2990"/>
      <c r="F116" s="2990"/>
      <c r="G116" s="2980">
        <v>0.1</v>
      </c>
    </row>
    <row r="117" spans="1:7">
      <c r="A117" s="2989" t="s">
        <v>303</v>
      </c>
      <c r="B117" s="2978" t="s">
        <v>2977</v>
      </c>
      <c r="C117" s="2979">
        <v>9.7000000000000003E-2</v>
      </c>
      <c r="D117" s="2979">
        <v>9.7000000000000003E-2</v>
      </c>
      <c r="E117" s="2990"/>
      <c r="F117" s="2990"/>
      <c r="G117" s="2980">
        <v>9.7000000000000003E-2</v>
      </c>
    </row>
    <row r="118" spans="1:7">
      <c r="A118" s="2989" t="s">
        <v>303</v>
      </c>
      <c r="B118" s="2978" t="s">
        <v>2982</v>
      </c>
      <c r="C118" s="2979">
        <v>0.1</v>
      </c>
      <c r="D118" s="2979">
        <v>0.1</v>
      </c>
      <c r="E118" s="2990"/>
      <c r="F118" s="2990"/>
      <c r="G118" s="2980">
        <v>0.1</v>
      </c>
    </row>
    <row r="119" spans="1:7">
      <c r="A119" s="2989" t="s">
        <v>303</v>
      </c>
      <c r="B119" s="2978" t="s">
        <v>2986</v>
      </c>
      <c r="C119" s="2979">
        <v>5.0999999999999997E-2</v>
      </c>
      <c r="D119" s="2979">
        <v>5.1999999999999998E-2</v>
      </c>
      <c r="E119" s="2990"/>
      <c r="F119" s="2995"/>
      <c r="G119" s="2980">
        <v>0.06</v>
      </c>
    </row>
    <row r="120" spans="1:7">
      <c r="A120" s="2989" t="s">
        <v>303</v>
      </c>
      <c r="B120" s="2978" t="s">
        <v>2990</v>
      </c>
      <c r="C120" s="2990"/>
      <c r="D120" s="2990"/>
      <c r="E120" s="2990"/>
      <c r="F120" s="2979">
        <v>0.1</v>
      </c>
      <c r="G120" s="2996"/>
    </row>
    <row r="121" spans="1:7">
      <c r="A121" s="2989" t="s">
        <v>303</v>
      </c>
      <c r="B121" s="2978" t="s">
        <v>2995</v>
      </c>
      <c r="C121" s="2990"/>
      <c r="D121" s="2990"/>
      <c r="E121" s="2990"/>
      <c r="F121" s="2979">
        <v>0.1</v>
      </c>
      <c r="G121" s="2996"/>
    </row>
    <row r="122" spans="1:7">
      <c r="A122" s="2989" t="s">
        <v>303</v>
      </c>
      <c r="B122" s="2978" t="s">
        <v>3000</v>
      </c>
      <c r="C122" s="2979">
        <v>0.1</v>
      </c>
      <c r="D122" s="2979">
        <v>0.1</v>
      </c>
      <c r="E122" s="2979">
        <v>9.8000000000000004E-2</v>
      </c>
      <c r="F122" s="2979">
        <v>0.1</v>
      </c>
      <c r="G122" s="2980">
        <v>0.1</v>
      </c>
    </row>
    <row r="123" spans="1:7">
      <c r="A123" s="2989" t="s">
        <v>303</v>
      </c>
      <c r="B123" s="2978" t="s">
        <v>3005</v>
      </c>
      <c r="C123" s="2979">
        <v>0.1</v>
      </c>
      <c r="D123" s="2979">
        <v>0.1</v>
      </c>
      <c r="E123" s="2979">
        <v>9.8000000000000004E-2</v>
      </c>
      <c r="F123" s="2979">
        <v>0.1</v>
      </c>
      <c r="G123" s="2980">
        <v>0.1</v>
      </c>
    </row>
    <row r="124" spans="1:7">
      <c r="A124" s="2989" t="s">
        <v>303</v>
      </c>
      <c r="B124" s="2978" t="s">
        <v>3010</v>
      </c>
      <c r="C124" s="2979">
        <v>0.1</v>
      </c>
      <c r="D124" s="2979">
        <v>0.1</v>
      </c>
      <c r="E124" s="2979">
        <v>9.8000000000000004E-2</v>
      </c>
      <c r="F124" s="2995"/>
      <c r="G124" s="2980">
        <v>0.1</v>
      </c>
    </row>
    <row r="125" spans="1:7">
      <c r="A125" s="2989" t="s">
        <v>303</v>
      </c>
      <c r="B125" s="2978" t="s">
        <v>3015</v>
      </c>
      <c r="C125" s="2979">
        <v>9.8000000000000004E-2</v>
      </c>
      <c r="D125" s="2979">
        <v>9.8000000000000004E-2</v>
      </c>
      <c r="E125" s="2979">
        <v>9.6000000000000002E-2</v>
      </c>
      <c r="F125" s="2995"/>
      <c r="G125" s="2980">
        <v>0.1</v>
      </c>
    </row>
    <row r="126" spans="1:7" ht="15" thickBot="1">
      <c r="A126" s="2992" t="s">
        <v>303</v>
      </c>
      <c r="B126" s="2982" t="s">
        <v>3181</v>
      </c>
      <c r="C126" s="2983">
        <v>0.1</v>
      </c>
      <c r="D126" s="2983">
        <v>0.1</v>
      </c>
      <c r="E126" s="2983">
        <v>9.8000000000000004E-2</v>
      </c>
      <c r="F126" s="2983">
        <v>0.1</v>
      </c>
      <c r="G126" s="2985">
        <v>0.1</v>
      </c>
    </row>
    <row r="127" spans="1:7">
      <c r="A127" s="2988" t="s">
        <v>29</v>
      </c>
      <c r="B127" s="2974" t="s">
        <v>2858</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2928</v>
      </c>
      <c r="C148" s="2979">
        <v>0.13</v>
      </c>
      <c r="D148" s="2979">
        <v>0.13</v>
      </c>
      <c r="E148" s="2979">
        <v>0.13</v>
      </c>
      <c r="F148" s="2990"/>
      <c r="G148" s="2980">
        <v>0.13</v>
      </c>
    </row>
    <row r="149" spans="1:7">
      <c r="A149" s="2989" t="s">
        <v>29</v>
      </c>
      <c r="B149" s="2978" t="s">
        <v>2932</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2951</v>
      </c>
      <c r="C153" s="2979">
        <v>0.13</v>
      </c>
      <c r="D153" s="2979">
        <v>0.13</v>
      </c>
      <c r="E153" s="2979">
        <v>0.13</v>
      </c>
      <c r="F153" s="2979">
        <v>0.13</v>
      </c>
      <c r="G153" s="2980">
        <v>0.13</v>
      </c>
    </row>
    <row r="154" spans="1:7">
      <c r="A154" s="2989" t="s">
        <v>29</v>
      </c>
      <c r="B154" s="2978" t="s">
        <v>2958</v>
      </c>
      <c r="C154" s="2979">
        <v>0.121</v>
      </c>
      <c r="D154" s="2979">
        <v>0.121</v>
      </c>
      <c r="E154" s="2979">
        <v>0.105</v>
      </c>
      <c r="F154" s="2979">
        <v>0.121</v>
      </c>
      <c r="G154" s="2980">
        <v>0.123</v>
      </c>
    </row>
    <row r="155" spans="1:7">
      <c r="A155" s="2989" t="s">
        <v>29</v>
      </c>
      <c r="B155" s="2978" t="s">
        <v>2964</v>
      </c>
      <c r="C155" s="2979">
        <v>0.1</v>
      </c>
      <c r="D155" s="2979">
        <v>0.1</v>
      </c>
      <c r="E155" s="2979">
        <v>0.1</v>
      </c>
      <c r="F155" s="2979">
        <v>0.1</v>
      </c>
      <c r="G155" s="2980">
        <v>0.1</v>
      </c>
    </row>
    <row r="156" spans="1:7">
      <c r="A156" s="2989" t="s">
        <v>29</v>
      </c>
      <c r="B156" s="2978" t="s">
        <v>2971</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2991</v>
      </c>
      <c r="C160" s="2979">
        <v>0.13</v>
      </c>
      <c r="D160" s="2979">
        <v>0.13</v>
      </c>
      <c r="E160" s="2979">
        <v>0.124</v>
      </c>
      <c r="F160" s="2979">
        <v>0.126</v>
      </c>
      <c r="G160" s="2980">
        <v>0.13</v>
      </c>
    </row>
    <row r="161" spans="1:7">
      <c r="A161" s="2989" t="s">
        <v>29</v>
      </c>
      <c r="B161" s="2978" t="s">
        <v>2996</v>
      </c>
      <c r="C161" s="2979">
        <v>0.13</v>
      </c>
      <c r="D161" s="2979">
        <v>0.13</v>
      </c>
      <c r="E161" s="2979">
        <v>0.124</v>
      </c>
      <c r="F161" s="2979">
        <v>0.127</v>
      </c>
      <c r="G161" s="2980">
        <v>0.13</v>
      </c>
    </row>
    <row r="162" spans="1:7">
      <c r="A162" s="2989" t="s">
        <v>29</v>
      </c>
      <c r="B162" s="2978" t="s">
        <v>3001</v>
      </c>
      <c r="C162" s="2979">
        <v>0.1</v>
      </c>
      <c r="D162" s="2979">
        <v>0.1</v>
      </c>
      <c r="E162" s="2979">
        <v>0.1</v>
      </c>
      <c r="F162" s="2979">
        <v>0.121</v>
      </c>
      <c r="G162" s="2980">
        <v>0.105</v>
      </c>
    </row>
    <row r="163" spans="1:7">
      <c r="A163" s="2989" t="s">
        <v>29</v>
      </c>
      <c r="B163" s="2978" t="s">
        <v>3006</v>
      </c>
      <c r="C163" s="2979">
        <v>0.1</v>
      </c>
      <c r="D163" s="2979">
        <v>0.1</v>
      </c>
      <c r="E163" s="2979">
        <v>0.1</v>
      </c>
      <c r="F163" s="2979">
        <v>0.1</v>
      </c>
      <c r="G163" s="2980">
        <v>0.1</v>
      </c>
    </row>
    <row r="164" spans="1:7">
      <c r="A164" s="2989" t="s">
        <v>29</v>
      </c>
      <c r="B164" s="2978" t="s">
        <v>3011</v>
      </c>
      <c r="C164" s="2995"/>
      <c r="D164" s="2995"/>
      <c r="E164" s="2995"/>
      <c r="F164" s="2979">
        <v>0.1</v>
      </c>
      <c r="G164" s="2991"/>
    </row>
    <row r="165" spans="1:7">
      <c r="A165" s="2989" t="s">
        <v>29</v>
      </c>
      <c r="B165" s="2978" t="s">
        <v>3182</v>
      </c>
      <c r="C165" s="2979">
        <v>0.126</v>
      </c>
      <c r="D165" s="2979">
        <v>0.126</v>
      </c>
      <c r="E165" s="2979">
        <v>0.11899999999999999</v>
      </c>
      <c r="F165" s="2979">
        <v>0.13</v>
      </c>
      <c r="G165" s="2980">
        <v>0.128</v>
      </c>
    </row>
    <row r="166" spans="1:7">
      <c r="A166" s="2989" t="s">
        <v>29</v>
      </c>
      <c r="B166" s="2978" t="s">
        <v>3021</v>
      </c>
      <c r="C166" s="2979">
        <v>0.129</v>
      </c>
      <c r="D166" s="2979">
        <v>0.129</v>
      </c>
      <c r="E166" s="2979">
        <v>0.123</v>
      </c>
      <c r="F166" s="2979">
        <v>0.128</v>
      </c>
      <c r="G166" s="2980">
        <v>0.13</v>
      </c>
    </row>
    <row r="167" spans="1:7">
      <c r="A167" s="2989" t="s">
        <v>29</v>
      </c>
      <c r="B167" s="2978" t="s">
        <v>3025</v>
      </c>
      <c r="C167" s="2979">
        <v>0.125</v>
      </c>
      <c r="D167" s="2979">
        <v>0.125</v>
      </c>
      <c r="E167" s="2979">
        <v>0.11700000000000001</v>
      </c>
      <c r="F167" s="2979">
        <v>0.13</v>
      </c>
      <c r="G167" s="2980">
        <v>0.126</v>
      </c>
    </row>
    <row r="168" spans="1:7">
      <c r="A168" s="2989" t="s">
        <v>29</v>
      </c>
      <c r="B168" s="2978" t="s">
        <v>3030</v>
      </c>
      <c r="C168" s="2979">
        <v>0.128</v>
      </c>
      <c r="D168" s="2979">
        <v>0.128</v>
      </c>
      <c r="E168" s="2979">
        <v>0.123</v>
      </c>
      <c r="F168" s="2990"/>
      <c r="G168" s="2980">
        <v>0.13</v>
      </c>
    </row>
    <row r="169" spans="1:7">
      <c r="A169" s="2989" t="s">
        <v>29</v>
      </c>
      <c r="B169" s="2978" t="s">
        <v>3183</v>
      </c>
      <c r="C169" s="2995"/>
      <c r="D169" s="2995"/>
      <c r="E169" s="2995"/>
      <c r="F169" s="2979">
        <v>0.05</v>
      </c>
      <c r="G169" s="2991"/>
    </row>
    <row r="170" spans="1:7">
      <c r="A170" s="2989" t="s">
        <v>29</v>
      </c>
      <c r="B170" s="2978" t="s">
        <v>3184</v>
      </c>
      <c r="C170" s="2995"/>
      <c r="D170" s="2995"/>
      <c r="E170" s="2995"/>
      <c r="F170" s="2979">
        <v>0.05</v>
      </c>
      <c r="G170" s="2991"/>
    </row>
    <row r="171" spans="1:7">
      <c r="A171" s="2989" t="s">
        <v>29</v>
      </c>
      <c r="B171" s="2978" t="s">
        <v>3185</v>
      </c>
      <c r="C171" s="2995"/>
      <c r="D171" s="2995"/>
      <c r="E171" s="2995"/>
      <c r="F171" s="2979">
        <v>0.05</v>
      </c>
      <c r="G171" s="2996"/>
    </row>
    <row r="172" spans="1:7">
      <c r="A172" s="2989" t="s">
        <v>29</v>
      </c>
      <c r="B172" s="2978" t="s">
        <v>3186</v>
      </c>
      <c r="C172" s="2995"/>
      <c r="D172" s="2995"/>
      <c r="E172" s="2995"/>
      <c r="F172" s="2979">
        <v>0.05</v>
      </c>
      <c r="G172" s="2996"/>
    </row>
    <row r="173" spans="1:7">
      <c r="A173" s="2989" t="s">
        <v>29</v>
      </c>
      <c r="B173" s="2978" t="s">
        <v>3187</v>
      </c>
      <c r="C173" s="2995"/>
      <c r="D173" s="2995"/>
      <c r="E173" s="2995"/>
      <c r="F173" s="2979">
        <v>0.05</v>
      </c>
      <c r="G173" s="2991"/>
    </row>
    <row r="174" spans="1:7">
      <c r="A174" s="2989" t="s">
        <v>29</v>
      </c>
      <c r="B174" s="2978" t="s">
        <v>3188</v>
      </c>
      <c r="C174" s="2995"/>
      <c r="D174" s="2995"/>
      <c r="E174" s="2995"/>
      <c r="F174" s="2979">
        <v>0.05</v>
      </c>
      <c r="G174" s="2991"/>
    </row>
    <row r="175" spans="1:7">
      <c r="A175" s="2989" t="s">
        <v>29</v>
      </c>
      <c r="B175" s="2978" t="s">
        <v>3189</v>
      </c>
      <c r="C175" s="2995"/>
      <c r="D175" s="2995"/>
      <c r="E175" s="2995"/>
      <c r="F175" s="2979">
        <v>0.05</v>
      </c>
      <c r="G175" s="2991"/>
    </row>
    <row r="176" spans="1:7">
      <c r="A176" s="2989" t="s">
        <v>29</v>
      </c>
      <c r="B176" s="2978" t="s">
        <v>3190</v>
      </c>
      <c r="C176" s="2995"/>
      <c r="D176" s="2995"/>
      <c r="E176" s="2995"/>
      <c r="F176" s="2979">
        <v>0.05</v>
      </c>
      <c r="G176" s="2991"/>
    </row>
    <row r="177" spans="1:7">
      <c r="A177" s="2989" t="s">
        <v>29</v>
      </c>
      <c r="B177" s="2978" t="s">
        <v>3191</v>
      </c>
      <c r="C177" s="2990"/>
      <c r="D177" s="2990"/>
      <c r="E177" s="2990"/>
      <c r="F177" s="2979">
        <v>0.05</v>
      </c>
      <c r="G177" s="2996"/>
    </row>
    <row r="178" spans="1:7">
      <c r="A178" s="2989" t="s">
        <v>29</v>
      </c>
      <c r="B178" s="2978" t="s">
        <v>3192</v>
      </c>
      <c r="C178" s="2990"/>
      <c r="D178" s="2990"/>
      <c r="E178" s="2990"/>
      <c r="F178" s="2979">
        <v>0.05</v>
      </c>
      <c r="G178" s="2996"/>
    </row>
    <row r="179" spans="1:7">
      <c r="A179" s="2989" t="s">
        <v>29</v>
      </c>
      <c r="B179" s="2978" t="s">
        <v>3193</v>
      </c>
      <c r="C179" s="2990"/>
      <c r="D179" s="2990"/>
      <c r="E179" s="2990"/>
      <c r="F179" s="2979">
        <v>0.05</v>
      </c>
      <c r="G179" s="2996"/>
    </row>
    <row r="180" spans="1:7">
      <c r="A180" s="2989" t="s">
        <v>29</v>
      </c>
      <c r="B180" s="2978" t="s">
        <v>3194</v>
      </c>
      <c r="C180" s="2990"/>
      <c r="D180" s="2990"/>
      <c r="E180" s="2990"/>
      <c r="F180" s="2979">
        <v>0.05</v>
      </c>
      <c r="G180" s="2996"/>
    </row>
    <row r="181" spans="1:7">
      <c r="A181" s="2989" t="s">
        <v>29</v>
      </c>
      <c r="B181" s="2978" t="s">
        <v>3195</v>
      </c>
      <c r="C181" s="2990"/>
      <c r="D181" s="2990"/>
      <c r="E181" s="2990"/>
      <c r="F181" s="2979">
        <v>0.05</v>
      </c>
      <c r="G181" s="2996"/>
    </row>
    <row r="182" spans="1:7">
      <c r="A182" s="2989" t="s">
        <v>29</v>
      </c>
      <c r="B182" s="2978" t="s">
        <v>3196</v>
      </c>
      <c r="C182" s="2990"/>
      <c r="D182" s="2990"/>
      <c r="E182" s="2990"/>
      <c r="F182" s="2979">
        <v>0.05</v>
      </c>
      <c r="G182" s="2996"/>
    </row>
    <row r="183" spans="1:7">
      <c r="A183" s="2989" t="s">
        <v>29</v>
      </c>
      <c r="B183" s="2978" t="s">
        <v>3197</v>
      </c>
      <c r="C183" s="2990"/>
      <c r="D183" s="2990"/>
      <c r="E183" s="2990"/>
      <c r="F183" s="2979">
        <v>0.05</v>
      </c>
      <c r="G183" s="2996"/>
    </row>
    <row r="184" spans="1:7">
      <c r="A184" s="2989" t="s">
        <v>29</v>
      </c>
      <c r="B184" s="2978" t="s">
        <v>3198</v>
      </c>
      <c r="C184" s="2990"/>
      <c r="D184" s="2990"/>
      <c r="E184" s="2990"/>
      <c r="F184" s="2979">
        <v>0.05</v>
      </c>
      <c r="G184" s="2996"/>
    </row>
    <row r="185" spans="1:7">
      <c r="A185" s="2989" t="s">
        <v>29</v>
      </c>
      <c r="B185" s="2978" t="s">
        <v>3199</v>
      </c>
      <c r="C185" s="2990"/>
      <c r="D185" s="2990"/>
      <c r="E185" s="2990"/>
      <c r="F185" s="2979">
        <v>0.05</v>
      </c>
      <c r="G185" s="2996"/>
    </row>
    <row r="186" spans="1:7">
      <c r="A186" s="2989" t="s">
        <v>29</v>
      </c>
      <c r="B186" s="2978" t="s">
        <v>3200</v>
      </c>
      <c r="C186" s="2990"/>
      <c r="D186" s="2990"/>
      <c r="E186" s="2990"/>
      <c r="F186" s="2979">
        <v>0.05</v>
      </c>
      <c r="G186" s="2996"/>
    </row>
    <row r="187" spans="1:7">
      <c r="A187" s="2989" t="s">
        <v>29</v>
      </c>
      <c r="B187" s="2978" t="s">
        <v>3201</v>
      </c>
      <c r="C187" s="2990"/>
      <c r="D187" s="2990"/>
      <c r="E187" s="2990"/>
      <c r="F187" s="2979">
        <v>0.05</v>
      </c>
      <c r="G187" s="2996"/>
    </row>
    <row r="188" spans="1:7">
      <c r="A188" s="2989" t="s">
        <v>29</v>
      </c>
      <c r="B188" s="2978" t="s">
        <v>3202</v>
      </c>
      <c r="C188" s="2990"/>
      <c r="D188" s="2990"/>
      <c r="E188" s="2990"/>
      <c r="F188" s="2979">
        <v>0.05</v>
      </c>
      <c r="G188" s="2996"/>
    </row>
    <row r="189" spans="1:7" ht="15" thickBot="1">
      <c r="A189" s="2992" t="s">
        <v>29</v>
      </c>
      <c r="B189" s="2982" t="s">
        <v>3203</v>
      </c>
      <c r="C189" s="2984"/>
      <c r="D189" s="2984"/>
      <c r="E189" s="2984"/>
      <c r="F189" s="2983">
        <v>0.05</v>
      </c>
      <c r="G189" s="2997"/>
    </row>
    <row r="190" spans="1:7">
      <c r="A190" s="2988" t="s">
        <v>304</v>
      </c>
      <c r="B190" s="2974" t="s">
        <v>2859</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2895</v>
      </c>
      <c r="C199" s="2979">
        <v>0.13</v>
      </c>
      <c r="D199" s="2979">
        <v>0.13</v>
      </c>
      <c r="E199" s="2979">
        <v>0.13</v>
      </c>
      <c r="F199" s="2979">
        <v>0.13</v>
      </c>
      <c r="G199" s="2980">
        <v>0.13</v>
      </c>
    </row>
    <row r="200" spans="1:7">
      <c r="A200" s="2989" t="s">
        <v>304</v>
      </c>
      <c r="B200" s="2978" t="s">
        <v>2898</v>
      </c>
      <c r="C200" s="2995"/>
      <c r="D200" s="2995"/>
      <c r="E200" s="2995"/>
      <c r="F200" s="2979">
        <v>0.13</v>
      </c>
      <c r="G200" s="2991"/>
    </row>
    <row r="201" spans="1:7">
      <c r="A201" s="2989" t="s">
        <v>304</v>
      </c>
      <c r="B201" s="2978" t="s">
        <v>2903</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2906</v>
      </c>
      <c r="C203" s="2979">
        <v>0.129</v>
      </c>
      <c r="D203" s="2979">
        <v>0.129</v>
      </c>
      <c r="E203" s="2979">
        <v>0.13</v>
      </c>
      <c r="F203" s="2979">
        <v>0.13</v>
      </c>
      <c r="G203" s="2980">
        <v>0.13</v>
      </c>
    </row>
    <row r="204" spans="1:7">
      <c r="A204" s="2989" t="s">
        <v>304</v>
      </c>
      <c r="B204" s="2978" t="s">
        <v>2909</v>
      </c>
      <c r="C204" s="2979">
        <v>0.129</v>
      </c>
      <c r="D204" s="2979">
        <v>0.129</v>
      </c>
      <c r="E204" s="2979">
        <v>0.123</v>
      </c>
      <c r="F204" s="2979">
        <v>0.13</v>
      </c>
      <c r="G204" s="2980">
        <v>0.13</v>
      </c>
    </row>
    <row r="205" spans="1:7">
      <c r="A205" s="2989" t="s">
        <v>304</v>
      </c>
      <c r="B205" s="2978" t="s">
        <v>2911</v>
      </c>
      <c r="C205" s="2979">
        <v>0.13</v>
      </c>
      <c r="D205" s="2979">
        <v>0.13</v>
      </c>
      <c r="E205" s="2979">
        <v>0.13</v>
      </c>
      <c r="F205" s="2979">
        <v>0.13</v>
      </c>
      <c r="G205" s="2980">
        <v>0.13</v>
      </c>
    </row>
    <row r="206" spans="1:7">
      <c r="A206" s="2989" t="s">
        <v>304</v>
      </c>
      <c r="B206" s="2978" t="s">
        <v>2914</v>
      </c>
      <c r="C206" s="2979">
        <v>0.13</v>
      </c>
      <c r="D206" s="2979">
        <v>0.13</v>
      </c>
      <c r="E206" s="2979">
        <v>0.13</v>
      </c>
      <c r="F206" s="2979">
        <v>0.128</v>
      </c>
      <c r="G206" s="2980">
        <v>0.13</v>
      </c>
    </row>
    <row r="207" spans="1:7">
      <c r="A207" s="2989" t="s">
        <v>304</v>
      </c>
      <c r="B207" s="2978" t="s">
        <v>2916</v>
      </c>
      <c r="C207" s="2979">
        <v>0.13</v>
      </c>
      <c r="D207" s="2979">
        <v>0.13</v>
      </c>
      <c r="E207" s="2979">
        <v>0.13</v>
      </c>
      <c r="F207" s="2979">
        <v>0.13</v>
      </c>
      <c r="G207" s="2980">
        <v>0.13</v>
      </c>
    </row>
    <row r="208" spans="1:7">
      <c r="A208" s="2989" t="s">
        <v>304</v>
      </c>
      <c r="B208" s="2978" t="s">
        <v>2919</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2926</v>
      </c>
      <c r="C210" s="2979">
        <v>0.121</v>
      </c>
      <c r="D210" s="2979">
        <v>0.121</v>
      </c>
      <c r="E210" s="2979">
        <v>0.125</v>
      </c>
      <c r="F210" s="2979">
        <v>0.13</v>
      </c>
      <c r="G210" s="2980">
        <v>0.123</v>
      </c>
    </row>
    <row r="211" spans="1:7">
      <c r="A211" s="2989" t="s">
        <v>304</v>
      </c>
      <c r="B211" s="2978" t="s">
        <v>2929</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2941</v>
      </c>
      <c r="C214" s="2979">
        <v>0.128</v>
      </c>
      <c r="D214" s="2979">
        <v>0.128</v>
      </c>
      <c r="E214" s="2979">
        <v>0.13</v>
      </c>
      <c r="F214" s="2979">
        <v>0.13</v>
      </c>
      <c r="G214" s="2980">
        <v>0.13</v>
      </c>
    </row>
    <row r="215" spans="1:7">
      <c r="A215" s="2989" t="s">
        <v>304</v>
      </c>
      <c r="B215" s="2978" t="s">
        <v>2945</v>
      </c>
      <c r="C215" s="2979">
        <v>0.13</v>
      </c>
      <c r="D215" s="2979">
        <v>0.13</v>
      </c>
      <c r="E215" s="2979">
        <v>0.13</v>
      </c>
      <c r="F215" s="2979">
        <v>0.129</v>
      </c>
      <c r="G215" s="2980">
        <v>0.13</v>
      </c>
    </row>
    <row r="216" spans="1:7">
      <c r="A216" s="2989" t="s">
        <v>304</v>
      </c>
      <c r="B216" s="2978" t="s">
        <v>2952</v>
      </c>
      <c r="C216" s="2979">
        <v>0.13</v>
      </c>
      <c r="D216" s="2979">
        <v>0.13</v>
      </c>
      <c r="E216" s="2979">
        <v>0.13</v>
      </c>
      <c r="F216" s="2979">
        <v>0.13</v>
      </c>
      <c r="G216" s="2980">
        <v>0.13</v>
      </c>
    </row>
    <row r="217" spans="1:7">
      <c r="A217" s="2989" t="s">
        <v>304</v>
      </c>
      <c r="B217" s="2978" t="s">
        <v>2959</v>
      </c>
      <c r="C217" s="2979">
        <v>0.129</v>
      </c>
      <c r="D217" s="2979">
        <v>0.129</v>
      </c>
      <c r="E217" s="2979">
        <v>0.13</v>
      </c>
      <c r="F217" s="2979">
        <v>0.13</v>
      </c>
      <c r="G217" s="2980">
        <v>0.13</v>
      </c>
    </row>
    <row r="218" spans="1:7">
      <c r="A218" s="2989" t="s">
        <v>304</v>
      </c>
      <c r="B218" s="2978" t="s">
        <v>2965</v>
      </c>
      <c r="C218" s="2990"/>
      <c r="D218" s="2990"/>
      <c r="E218" s="2990"/>
      <c r="F218" s="2979">
        <v>0.05</v>
      </c>
      <c r="G218" s="2996"/>
    </row>
    <row r="219" spans="1:7">
      <c r="A219" s="2989" t="s">
        <v>304</v>
      </c>
      <c r="B219" s="2978" t="s">
        <v>2972</v>
      </c>
      <c r="C219" s="2990"/>
      <c r="D219" s="2990"/>
      <c r="E219" s="2990"/>
      <c r="F219" s="2979">
        <v>0.05</v>
      </c>
      <c r="G219" s="2996"/>
    </row>
    <row r="220" spans="1:7">
      <c r="A220" s="2989" t="s">
        <v>304</v>
      </c>
      <c r="B220" s="2978" t="s">
        <v>2978</v>
      </c>
      <c r="C220" s="2990"/>
      <c r="D220" s="2990"/>
      <c r="E220" s="2990"/>
      <c r="F220" s="2979">
        <v>0.05</v>
      </c>
      <c r="G220" s="2996"/>
    </row>
    <row r="221" spans="1:7">
      <c r="A221" s="2989" t="s">
        <v>304</v>
      </c>
      <c r="B221" s="2978" t="s">
        <v>2983</v>
      </c>
      <c r="C221" s="2990"/>
      <c r="D221" s="2990"/>
      <c r="E221" s="2990"/>
      <c r="F221" s="2979">
        <v>0.05</v>
      </c>
      <c r="G221" s="2996"/>
    </row>
    <row r="222" spans="1:7">
      <c r="A222" s="2989" t="s">
        <v>304</v>
      </c>
      <c r="B222" s="2978" t="s">
        <v>2987</v>
      </c>
      <c r="C222" s="2990"/>
      <c r="D222" s="2990"/>
      <c r="E222" s="2990"/>
      <c r="F222" s="2979">
        <v>0.05</v>
      </c>
      <c r="G222" s="2996"/>
    </row>
    <row r="223" spans="1:7">
      <c r="A223" s="2989" t="s">
        <v>304</v>
      </c>
      <c r="B223" s="2978" t="s">
        <v>2992</v>
      </c>
      <c r="C223" s="2990"/>
      <c r="D223" s="2990"/>
      <c r="E223" s="2990"/>
      <c r="F223" s="2979">
        <v>0.05</v>
      </c>
      <c r="G223" s="2996"/>
    </row>
    <row r="224" spans="1:7">
      <c r="A224" s="2989" t="s">
        <v>304</v>
      </c>
      <c r="B224" s="2978" t="s">
        <v>2997</v>
      </c>
      <c r="C224" s="2990"/>
      <c r="D224" s="2990"/>
      <c r="E224" s="2990"/>
      <c r="F224" s="2979">
        <v>0.05</v>
      </c>
      <c r="G224" s="2996"/>
    </row>
    <row r="225" spans="1:7">
      <c r="A225" s="2989" t="s">
        <v>304</v>
      </c>
      <c r="B225" s="2978" t="s">
        <v>3002</v>
      </c>
      <c r="C225" s="2990"/>
      <c r="D225" s="2990"/>
      <c r="E225" s="2990"/>
      <c r="F225" s="2979">
        <v>0.05</v>
      </c>
      <c r="G225" s="2996"/>
    </row>
    <row r="226" spans="1:7">
      <c r="A226" s="2989" t="s">
        <v>304</v>
      </c>
      <c r="B226" s="2978" t="s">
        <v>3204</v>
      </c>
      <c r="C226" s="2990"/>
      <c r="D226" s="2990"/>
      <c r="E226" s="2990"/>
      <c r="F226" s="2979">
        <v>0.05</v>
      </c>
      <c r="G226" s="2996"/>
    </row>
    <row r="227" spans="1:7">
      <c r="A227" s="2989" t="s">
        <v>304</v>
      </c>
      <c r="B227" s="2978" t="s">
        <v>3205</v>
      </c>
      <c r="C227" s="2990"/>
      <c r="D227" s="2990"/>
      <c r="E227" s="2990"/>
      <c r="F227" s="2979">
        <v>0.05</v>
      </c>
      <c r="G227" s="2996"/>
    </row>
    <row r="228" spans="1:7">
      <c r="A228" s="2989" t="s">
        <v>304</v>
      </c>
      <c r="B228" s="2978" t="s">
        <v>3206</v>
      </c>
      <c r="C228" s="2990"/>
      <c r="D228" s="2990"/>
      <c r="E228" s="2990"/>
      <c r="F228" s="2979">
        <v>0.05</v>
      </c>
      <c r="G228" s="2996"/>
    </row>
    <row r="229" spans="1:7">
      <c r="A229" s="2989" t="s">
        <v>304</v>
      </c>
      <c r="B229" s="2978" t="s">
        <v>3207</v>
      </c>
      <c r="C229" s="2990"/>
      <c r="D229" s="2990"/>
      <c r="E229" s="2990"/>
      <c r="F229" s="2979">
        <v>0.05</v>
      </c>
      <c r="G229" s="2996"/>
    </row>
    <row r="230" spans="1:7">
      <c r="A230" s="2989" t="s">
        <v>304</v>
      </c>
      <c r="B230" s="2978" t="s">
        <v>3208</v>
      </c>
      <c r="C230" s="2990"/>
      <c r="D230" s="2990"/>
      <c r="E230" s="2990"/>
      <c r="F230" s="2979">
        <v>0.05</v>
      </c>
      <c r="G230" s="2996"/>
    </row>
    <row r="231" spans="1:7">
      <c r="A231" s="2989" t="s">
        <v>304</v>
      </c>
      <c r="B231" s="2978" t="s">
        <v>3209</v>
      </c>
      <c r="C231" s="2990"/>
      <c r="D231" s="2990"/>
      <c r="E231" s="2990"/>
      <c r="F231" s="2979">
        <v>0.05</v>
      </c>
      <c r="G231" s="2996"/>
    </row>
    <row r="232" spans="1:7">
      <c r="A232" s="2989" t="s">
        <v>304</v>
      </c>
      <c r="B232" s="2978" t="s">
        <v>3210</v>
      </c>
      <c r="C232" s="2990"/>
      <c r="D232" s="2990"/>
      <c r="E232" s="2990"/>
      <c r="F232" s="2979">
        <v>0.05</v>
      </c>
      <c r="G232" s="2996"/>
    </row>
    <row r="233" spans="1:7" ht="15" thickBot="1">
      <c r="A233" s="2992" t="s">
        <v>304</v>
      </c>
      <c r="B233" s="2982" t="s">
        <v>3211</v>
      </c>
      <c r="C233" s="2984"/>
      <c r="D233" s="2984"/>
      <c r="E233" s="2984"/>
      <c r="F233" s="2983">
        <v>0.05</v>
      </c>
      <c r="G233" s="2997"/>
    </row>
    <row r="234" spans="1:7">
      <c r="A234" s="2988" t="s">
        <v>305</v>
      </c>
      <c r="B234" s="2974" t="s">
        <v>2860</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2880</v>
      </c>
      <c r="C238" s="2979">
        <v>0.14899999999999999</v>
      </c>
      <c r="D238" s="2979">
        <v>0.14899999999999999</v>
      </c>
      <c r="E238" s="2979">
        <v>0.15</v>
      </c>
      <c r="F238" s="2979">
        <v>0.15</v>
      </c>
      <c r="G238" s="2980">
        <v>0.15</v>
      </c>
    </row>
    <row r="239" spans="1:7">
      <c r="A239" s="2989" t="s">
        <v>305</v>
      </c>
      <c r="B239" s="2978" t="s">
        <v>2884</v>
      </c>
      <c r="C239" s="2979">
        <v>0.15</v>
      </c>
      <c r="D239" s="2979">
        <v>0.15</v>
      </c>
      <c r="E239" s="2979">
        <v>0.15</v>
      </c>
      <c r="F239" s="2979">
        <v>0.15</v>
      </c>
      <c r="G239" s="2980">
        <v>0.15</v>
      </c>
    </row>
    <row r="240" spans="1:7">
      <c r="A240" s="2989" t="s">
        <v>305</v>
      </c>
      <c r="B240" s="2978" t="s">
        <v>2889</v>
      </c>
      <c r="C240" s="2979">
        <v>0.15</v>
      </c>
      <c r="D240" s="2979">
        <v>0.15</v>
      </c>
      <c r="E240" s="2979">
        <v>0.15</v>
      </c>
      <c r="F240" s="2979">
        <v>0.15</v>
      </c>
      <c r="G240" s="2980">
        <v>0.15</v>
      </c>
    </row>
    <row r="241" spans="1:7">
      <c r="A241" s="2989" t="s">
        <v>305</v>
      </c>
      <c r="B241" s="2978" t="s">
        <v>2893</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2899</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2907</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2912</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2920</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2933</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2942</v>
      </c>
      <c r="C258" s="2979">
        <v>0.14299999999999999</v>
      </c>
      <c r="D258" s="2979">
        <v>0.14299999999999999</v>
      </c>
      <c r="E258" s="2979">
        <v>0.15</v>
      </c>
      <c r="F258" s="2979">
        <v>0.14799999999999999</v>
      </c>
      <c r="G258" s="2980">
        <v>0.14599999999999999</v>
      </c>
    </row>
    <row r="259" spans="1:7">
      <c r="A259" s="2989" t="s">
        <v>305</v>
      </c>
      <c r="B259" s="2978" t="s">
        <v>2946</v>
      </c>
      <c r="C259" s="2979">
        <v>0.14399999999999999</v>
      </c>
      <c r="D259" s="2979">
        <v>0.14399999999999999</v>
      </c>
      <c r="E259" s="2979">
        <v>0.14899999999999999</v>
      </c>
      <c r="F259" s="2979">
        <v>0.14699999999999999</v>
      </c>
      <c r="G259" s="2980">
        <v>0.14599999999999999</v>
      </c>
    </row>
    <row r="260" spans="1:7">
      <c r="A260" s="2989" t="s">
        <v>305</v>
      </c>
      <c r="B260" s="2978" t="s">
        <v>2953</v>
      </c>
      <c r="C260" s="2979">
        <v>0.109</v>
      </c>
      <c r="D260" s="2979">
        <v>0.111</v>
      </c>
      <c r="E260" s="2979">
        <v>0.13100000000000001</v>
      </c>
      <c r="F260" s="2979">
        <v>0.126</v>
      </c>
      <c r="G260" s="2980">
        <v>0.11899999999999999</v>
      </c>
    </row>
    <row r="261" spans="1:7">
      <c r="A261" s="2989" t="s">
        <v>305</v>
      </c>
      <c r="B261" s="2978" t="s">
        <v>2960</v>
      </c>
      <c r="C261" s="2979">
        <v>0.1</v>
      </c>
      <c r="D261" s="2979">
        <v>0.1</v>
      </c>
      <c r="E261" s="2979">
        <v>0.11799999999999999</v>
      </c>
      <c r="F261" s="2979">
        <v>0.108</v>
      </c>
      <c r="G261" s="2980">
        <v>0.107</v>
      </c>
    </row>
    <row r="262" spans="1:7">
      <c r="A262" s="2989" t="s">
        <v>305</v>
      </c>
      <c r="B262" s="2978" t="s">
        <v>2966</v>
      </c>
      <c r="C262" s="2979">
        <v>0.1</v>
      </c>
      <c r="D262" s="2979">
        <v>0.1</v>
      </c>
      <c r="E262" s="2979">
        <v>0.1</v>
      </c>
      <c r="F262" s="2979">
        <v>0.14099999999999999</v>
      </c>
      <c r="G262" s="2980">
        <v>0.1</v>
      </c>
    </row>
    <row r="263" spans="1:7">
      <c r="A263" s="2989" t="s">
        <v>305</v>
      </c>
      <c r="B263" s="2978" t="s">
        <v>2973</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2984</v>
      </c>
      <c r="C265" s="2990"/>
      <c r="D265" s="2990"/>
      <c r="E265" s="2990"/>
      <c r="F265" s="2979">
        <v>0.05</v>
      </c>
      <c r="G265" s="2996"/>
    </row>
    <row r="266" spans="1:7">
      <c r="A266" s="2989" t="s">
        <v>305</v>
      </c>
      <c r="B266" s="2978" t="s">
        <v>2988</v>
      </c>
      <c r="C266" s="2990"/>
      <c r="D266" s="2990"/>
      <c r="E266" s="2990"/>
      <c r="F266" s="2979">
        <v>0.05</v>
      </c>
      <c r="G266" s="2996"/>
    </row>
    <row r="267" spans="1:7">
      <c r="A267" s="2989" t="s">
        <v>305</v>
      </c>
      <c r="B267" s="2978" t="s">
        <v>2993</v>
      </c>
      <c r="C267" s="2990"/>
      <c r="D267" s="2990"/>
      <c r="E267" s="2990"/>
      <c r="F267" s="2979">
        <v>0.05</v>
      </c>
      <c r="G267" s="2996"/>
    </row>
    <row r="268" spans="1:7">
      <c r="A268" s="2989" t="s">
        <v>305</v>
      </c>
      <c r="B268" s="2978" t="s">
        <v>2998</v>
      </c>
      <c r="C268" s="2990"/>
      <c r="D268" s="2990"/>
      <c r="E268" s="2990"/>
      <c r="F268" s="2979">
        <v>0.05</v>
      </c>
      <c r="G268" s="2996"/>
    </row>
    <row r="269" spans="1:7">
      <c r="A269" s="2989" t="s">
        <v>305</v>
      </c>
      <c r="B269" s="2978" t="s">
        <v>3003</v>
      </c>
      <c r="C269" s="2990"/>
      <c r="D269" s="2990"/>
      <c r="E269" s="2990"/>
      <c r="F269" s="2979">
        <v>0.05</v>
      </c>
      <c r="G269" s="2996"/>
    </row>
    <row r="270" spans="1:7">
      <c r="A270" s="2989" t="s">
        <v>305</v>
      </c>
      <c r="B270" s="2978" t="s">
        <v>3008</v>
      </c>
      <c r="C270" s="2990"/>
      <c r="D270" s="2990"/>
      <c r="E270" s="2990"/>
      <c r="F270" s="2979">
        <v>0.05</v>
      </c>
      <c r="G270" s="2996"/>
    </row>
    <row r="271" spans="1:7">
      <c r="A271" s="2989" t="s">
        <v>305</v>
      </c>
      <c r="B271" s="2978" t="s">
        <v>3212</v>
      </c>
      <c r="C271" s="2990"/>
      <c r="D271" s="2990"/>
      <c r="E271" s="2990"/>
      <c r="F271" s="2979">
        <v>0.05</v>
      </c>
      <c r="G271" s="2996"/>
    </row>
    <row r="272" spans="1:7">
      <c r="A272" s="2989" t="s">
        <v>305</v>
      </c>
      <c r="B272" s="2978" t="s">
        <v>3213</v>
      </c>
      <c r="C272" s="2990"/>
      <c r="D272" s="2990"/>
      <c r="E272" s="2990"/>
      <c r="F272" s="2979">
        <v>0.05</v>
      </c>
      <c r="G272" s="2996"/>
    </row>
    <row r="273" spans="1:7">
      <c r="A273" s="2989" t="s">
        <v>305</v>
      </c>
      <c r="B273" s="2978" t="s">
        <v>3214</v>
      </c>
      <c r="C273" s="2990"/>
      <c r="D273" s="2990"/>
      <c r="E273" s="2990"/>
      <c r="F273" s="2979">
        <v>0.05</v>
      </c>
      <c r="G273" s="2996"/>
    </row>
    <row r="274" spans="1:7">
      <c r="A274" s="2989" t="s">
        <v>305</v>
      </c>
      <c r="B274" s="2978" t="s">
        <v>3215</v>
      </c>
      <c r="C274" s="2990"/>
      <c r="D274" s="2990"/>
      <c r="E274" s="2990"/>
      <c r="F274" s="2979">
        <v>0.05</v>
      </c>
      <c r="G274" s="2996"/>
    </row>
    <row r="275" spans="1:7">
      <c r="A275" s="2989" t="s">
        <v>305</v>
      </c>
      <c r="B275" s="2978" t="s">
        <v>3216</v>
      </c>
      <c r="C275" s="2990"/>
      <c r="D275" s="2990"/>
      <c r="E275" s="2990"/>
      <c r="F275" s="2979">
        <v>0.05</v>
      </c>
      <c r="G275" s="2996"/>
    </row>
    <row r="276" spans="1:7" ht="15" thickBot="1">
      <c r="A276" s="2992" t="s">
        <v>305</v>
      </c>
      <c r="B276" s="2982" t="s">
        <v>3217</v>
      </c>
      <c r="C276" s="2984"/>
      <c r="D276" s="2984"/>
      <c r="E276" s="2984"/>
      <c r="F276" s="2983">
        <v>0.05</v>
      </c>
      <c r="G276" s="2997"/>
    </row>
    <row r="277" spans="1:7">
      <c r="A277" s="2988" t="s">
        <v>306</v>
      </c>
      <c r="B277" s="2974" t="s">
        <v>2861</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2873</v>
      </c>
      <c r="C279" s="2979">
        <v>0.15</v>
      </c>
      <c r="D279" s="2979">
        <v>0.15</v>
      </c>
      <c r="E279" s="2979">
        <v>0.15</v>
      </c>
      <c r="F279" s="2979">
        <v>0.15</v>
      </c>
      <c r="G279" s="2980">
        <v>0.15</v>
      </c>
    </row>
    <row r="280" spans="1:7">
      <c r="A280" s="2989" t="s">
        <v>306</v>
      </c>
      <c r="B280" s="2978" t="s">
        <v>2877</v>
      </c>
      <c r="C280" s="2979">
        <v>0.15</v>
      </c>
      <c r="D280" s="2979">
        <v>0.15</v>
      </c>
      <c r="E280" s="2979">
        <v>0.15</v>
      </c>
      <c r="F280" s="2979">
        <v>0.15</v>
      </c>
      <c r="G280" s="2980">
        <v>0.15</v>
      </c>
    </row>
    <row r="281" spans="1:7">
      <c r="A281" s="2989" t="s">
        <v>306</v>
      </c>
      <c r="B281" s="2978" t="s">
        <v>2881</v>
      </c>
      <c r="C281" s="2979">
        <v>0.15</v>
      </c>
      <c r="D281" s="2979">
        <v>0.15</v>
      </c>
      <c r="E281" s="2979">
        <v>0.15</v>
      </c>
      <c r="F281" s="2979">
        <v>0.15</v>
      </c>
      <c r="G281" s="2980">
        <v>0.15</v>
      </c>
    </row>
    <row r="282" spans="1:7">
      <c r="A282" s="2989" t="s">
        <v>306</v>
      </c>
      <c r="B282" s="2978" t="s">
        <v>2885</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2900</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2905</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2915</v>
      </c>
      <c r="C293" s="2979">
        <v>0.15</v>
      </c>
      <c r="D293" s="2979">
        <v>0.15</v>
      </c>
      <c r="E293" s="2979">
        <v>0.15</v>
      </c>
      <c r="F293" s="2979">
        <v>0.14499999999999999</v>
      </c>
      <c r="G293" s="2980">
        <v>0.15</v>
      </c>
    </row>
    <row r="294" spans="1:7">
      <c r="A294" s="2989" t="s">
        <v>306</v>
      </c>
      <c r="B294" s="2978" t="s">
        <v>2917</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2934</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2947</v>
      </c>
      <c r="C302" s="2979">
        <v>0.15</v>
      </c>
      <c r="D302" s="2979">
        <v>0.15</v>
      </c>
      <c r="E302" s="2979">
        <v>0.15</v>
      </c>
      <c r="F302" s="2979">
        <v>0.14699999999999999</v>
      </c>
      <c r="G302" s="2980">
        <v>0.15</v>
      </c>
    </row>
    <row r="303" spans="1:7">
      <c r="A303" s="2989" t="s">
        <v>306</v>
      </c>
      <c r="B303" s="2978" t="s">
        <v>2954</v>
      </c>
      <c r="C303" s="2979">
        <v>0.15</v>
      </c>
      <c r="D303" s="2979">
        <v>0.15</v>
      </c>
      <c r="E303" s="2979">
        <v>0.15</v>
      </c>
      <c r="F303" s="2979">
        <v>0.14199999999999999</v>
      </c>
      <c r="G303" s="2980">
        <v>0.15</v>
      </c>
    </row>
    <row r="304" spans="1:7">
      <c r="A304" s="2989" t="s">
        <v>306</v>
      </c>
      <c r="B304" s="2978" t="s">
        <v>2961</v>
      </c>
      <c r="C304" s="2979">
        <v>0.15</v>
      </c>
      <c r="D304" s="2979">
        <v>0.15</v>
      </c>
      <c r="E304" s="2979">
        <v>0.15</v>
      </c>
      <c r="F304" s="2979">
        <v>0.14499999999999999</v>
      </c>
      <c r="G304" s="2980">
        <v>0.15</v>
      </c>
    </row>
    <row r="305" spans="1:7">
      <c r="A305" s="2989" t="s">
        <v>306</v>
      </c>
      <c r="B305" s="2978" t="s">
        <v>2967</v>
      </c>
      <c r="C305" s="2979">
        <v>0.15</v>
      </c>
      <c r="D305" s="2979">
        <v>0.15</v>
      </c>
      <c r="E305" s="2979">
        <v>0.15</v>
      </c>
      <c r="F305" s="2979">
        <v>0.111</v>
      </c>
      <c r="G305" s="2980">
        <v>0.15</v>
      </c>
    </row>
    <row r="306" spans="1:7">
      <c r="A306" s="2989" t="s">
        <v>306</v>
      </c>
      <c r="B306" s="2978" t="s">
        <v>2974</v>
      </c>
      <c r="C306" s="2979">
        <v>0.15</v>
      </c>
      <c r="D306" s="2979">
        <v>0.15</v>
      </c>
      <c r="E306" s="2979">
        <v>0.15</v>
      </c>
      <c r="F306" s="2979">
        <v>0.126</v>
      </c>
      <c r="G306" s="2980">
        <v>0.15</v>
      </c>
    </row>
    <row r="307" spans="1:7">
      <c r="A307" s="2989" t="s">
        <v>306</v>
      </c>
      <c r="B307" s="2978" t="s">
        <v>2979</v>
      </c>
      <c r="C307" s="2979">
        <v>0.15</v>
      </c>
      <c r="D307" s="2979">
        <v>0.15</v>
      </c>
      <c r="E307" s="2979">
        <v>0.15</v>
      </c>
      <c r="F307" s="2979">
        <v>0.12</v>
      </c>
      <c r="G307" s="2980">
        <v>0.15</v>
      </c>
    </row>
    <row r="308" spans="1:7">
      <c r="A308" s="2989" t="s">
        <v>306</v>
      </c>
      <c r="B308" s="2978" t="s">
        <v>2985</v>
      </c>
      <c r="C308" s="2979">
        <v>0.15</v>
      </c>
      <c r="D308" s="2979">
        <v>0.15</v>
      </c>
      <c r="E308" s="2979">
        <v>0.15</v>
      </c>
      <c r="F308" s="2979">
        <v>0.13</v>
      </c>
      <c r="G308" s="2980">
        <v>0.15</v>
      </c>
    </row>
    <row r="309" spans="1:7">
      <c r="A309" s="2989" t="s">
        <v>306</v>
      </c>
      <c r="B309" s="2978" t="s">
        <v>2989</v>
      </c>
      <c r="C309" s="2979">
        <v>0.15</v>
      </c>
      <c r="D309" s="2979">
        <v>0.15</v>
      </c>
      <c r="E309" s="2979">
        <v>0.15</v>
      </c>
      <c r="F309" s="2979">
        <v>0.14099999999999999</v>
      </c>
      <c r="G309" s="2980">
        <v>0.15</v>
      </c>
    </row>
    <row r="310" spans="1:7">
      <c r="A310" s="2989" t="s">
        <v>306</v>
      </c>
      <c r="B310" s="2978" t="s">
        <v>2994</v>
      </c>
      <c r="C310" s="2979">
        <v>0.15</v>
      </c>
      <c r="D310" s="2979">
        <v>0.15</v>
      </c>
      <c r="E310" s="2979">
        <v>0.15</v>
      </c>
      <c r="F310" s="2979">
        <v>0.15</v>
      </c>
      <c r="G310" s="2980">
        <v>0.15</v>
      </c>
    </row>
    <row r="311" spans="1:7">
      <c r="A311" s="2989" t="s">
        <v>306</v>
      </c>
      <c r="B311" s="2978" t="s">
        <v>2999</v>
      </c>
      <c r="C311" s="2979">
        <v>0.13200000000000001</v>
      </c>
      <c r="D311" s="2979">
        <v>0.13300000000000001</v>
      </c>
      <c r="E311" s="2979">
        <v>0.14499999999999999</v>
      </c>
      <c r="F311" s="2979">
        <v>0.14199999999999999</v>
      </c>
      <c r="G311" s="2980">
        <v>0.14000000000000001</v>
      </c>
    </row>
    <row r="312" spans="1:7">
      <c r="A312" s="2989" t="s">
        <v>306</v>
      </c>
      <c r="B312" s="2978" t="s">
        <v>3004</v>
      </c>
      <c r="C312" s="2979">
        <v>0.13800000000000001</v>
      </c>
      <c r="D312" s="2979">
        <v>0.14000000000000001</v>
      </c>
      <c r="E312" s="2979">
        <v>0.14599999999999999</v>
      </c>
      <c r="F312" s="2979">
        <v>0.14899999999999999</v>
      </c>
      <c r="G312" s="2980">
        <v>0.14199999999999999</v>
      </c>
    </row>
    <row r="313" spans="1:7">
      <c r="A313" s="2989" t="s">
        <v>306</v>
      </c>
      <c r="B313" s="2978" t="s">
        <v>3009</v>
      </c>
      <c r="C313" s="2979">
        <v>0.125</v>
      </c>
      <c r="D313" s="2979">
        <v>0.127</v>
      </c>
      <c r="E313" s="2979">
        <v>0.14399999999999999</v>
      </c>
      <c r="F313" s="2979">
        <v>0.115</v>
      </c>
      <c r="G313" s="2980">
        <v>0.13600000000000001</v>
      </c>
    </row>
    <row r="314" spans="1:7">
      <c r="A314" s="2989" t="s">
        <v>306</v>
      </c>
      <c r="B314" s="2978" t="s">
        <v>3218</v>
      </c>
      <c r="C314" s="2995"/>
      <c r="D314" s="2995"/>
      <c r="E314" s="2995"/>
      <c r="F314" s="2979">
        <v>0.05</v>
      </c>
      <c r="G314" s="2996"/>
    </row>
    <row r="315" spans="1:7">
      <c r="A315" s="2989" t="s">
        <v>306</v>
      </c>
      <c r="B315" s="2978" t="s">
        <v>3219</v>
      </c>
      <c r="C315" s="2995"/>
      <c r="D315" s="2995"/>
      <c r="E315" s="2995"/>
      <c r="F315" s="2979">
        <v>0.05</v>
      </c>
      <c r="G315" s="2996"/>
    </row>
    <row r="316" spans="1:7">
      <c r="A316" s="2989" t="s">
        <v>306</v>
      </c>
      <c r="B316" s="2978" t="s">
        <v>3220</v>
      </c>
      <c r="C316" s="2990"/>
      <c r="D316" s="2990"/>
      <c r="E316" s="2990"/>
      <c r="F316" s="2979">
        <v>0.05</v>
      </c>
      <c r="G316" s="2996"/>
    </row>
    <row r="317" spans="1:7">
      <c r="A317" s="2989" t="s">
        <v>306</v>
      </c>
      <c r="B317" s="2978" t="s">
        <v>3221</v>
      </c>
      <c r="C317" s="2990"/>
      <c r="D317" s="2990"/>
      <c r="E317" s="2990"/>
      <c r="F317" s="2979">
        <v>0.05</v>
      </c>
      <c r="G317" s="2996"/>
    </row>
    <row r="318" spans="1:7">
      <c r="A318" s="2989" t="s">
        <v>306</v>
      </c>
      <c r="B318" s="2978" t="s">
        <v>3222</v>
      </c>
      <c r="C318" s="2990"/>
      <c r="D318" s="2990"/>
      <c r="E318" s="2990"/>
      <c r="F318" s="2979">
        <v>0.05</v>
      </c>
      <c r="G318" s="2996"/>
    </row>
    <row r="319" spans="1:7">
      <c r="A319" s="2989" t="s">
        <v>306</v>
      </c>
      <c r="B319" s="2978" t="s">
        <v>3223</v>
      </c>
      <c r="C319" s="2990"/>
      <c r="D319" s="2990"/>
      <c r="E319" s="2990"/>
      <c r="F319" s="2979">
        <v>0.05</v>
      </c>
      <c r="G319" s="2996"/>
    </row>
    <row r="320" spans="1:7">
      <c r="A320" s="2989" t="s">
        <v>306</v>
      </c>
      <c r="B320" s="2978" t="s">
        <v>3224</v>
      </c>
      <c r="C320" s="2990"/>
      <c r="D320" s="2990"/>
      <c r="E320" s="2990"/>
      <c r="F320" s="2979">
        <v>0.05</v>
      </c>
      <c r="G320" s="2996"/>
    </row>
    <row r="321" spans="1:7">
      <c r="A321" s="2989" t="s">
        <v>306</v>
      </c>
      <c r="B321" s="2978" t="s">
        <v>3225</v>
      </c>
      <c r="C321" s="2990"/>
      <c r="D321" s="2990"/>
      <c r="E321" s="2990"/>
      <c r="F321" s="2979">
        <v>0.05</v>
      </c>
      <c r="G321" s="2996"/>
    </row>
    <row r="322" spans="1:7">
      <c r="A322" s="2989" t="s">
        <v>306</v>
      </c>
      <c r="B322" s="2978" t="s">
        <v>3226</v>
      </c>
      <c r="C322" s="2990"/>
      <c r="D322" s="2990"/>
      <c r="E322" s="2990"/>
      <c r="F322" s="2979">
        <v>0.05</v>
      </c>
      <c r="G322" s="2996"/>
    </row>
    <row r="323" spans="1:7">
      <c r="A323" s="2989" t="s">
        <v>306</v>
      </c>
      <c r="B323" s="2978" t="s">
        <v>3227</v>
      </c>
      <c r="C323" s="2990"/>
      <c r="D323" s="2990"/>
      <c r="E323" s="2990"/>
      <c r="F323" s="2979">
        <v>0.05</v>
      </c>
      <c r="G323" s="2996"/>
    </row>
    <row r="324" spans="1:7">
      <c r="A324" s="2989" t="s">
        <v>306</v>
      </c>
      <c r="B324" s="2978" t="s">
        <v>3228</v>
      </c>
      <c r="C324" s="2990"/>
      <c r="D324" s="2990"/>
      <c r="E324" s="2990"/>
      <c r="F324" s="2979">
        <v>0.05</v>
      </c>
      <c r="G324" s="2996"/>
    </row>
    <row r="325" spans="1:7">
      <c r="A325" s="2989" t="s">
        <v>306</v>
      </c>
      <c r="B325" s="2978" t="s">
        <v>3229</v>
      </c>
      <c r="C325" s="2990"/>
      <c r="D325" s="2990"/>
      <c r="E325" s="2990"/>
      <c r="F325" s="2979">
        <v>0.05</v>
      </c>
      <c r="G325" s="2996"/>
    </row>
    <row r="326" spans="1:7" ht="15" thickBot="1">
      <c r="A326" s="2992" t="s">
        <v>306</v>
      </c>
      <c r="B326" s="2982" t="s">
        <v>3230</v>
      </c>
      <c r="C326" s="2984"/>
      <c r="D326" s="2984"/>
      <c r="E326" s="2984"/>
      <c r="F326" s="2983">
        <v>0.05</v>
      </c>
      <c r="G326" s="2997"/>
    </row>
    <row r="327" spans="1:7">
      <c r="A327" s="2988" t="s">
        <v>307</v>
      </c>
      <c r="B327" s="2974" t="s">
        <v>2862</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2874</v>
      </c>
      <c r="C329" s="2979">
        <v>0.15</v>
      </c>
      <c r="D329" s="2979">
        <v>0.15</v>
      </c>
      <c r="E329" s="2979">
        <v>0.15</v>
      </c>
      <c r="F329" s="2979">
        <v>0.15</v>
      </c>
      <c r="G329" s="2980">
        <v>0.15</v>
      </c>
    </row>
    <row r="330" spans="1:7">
      <c r="A330" s="2989" t="s">
        <v>307</v>
      </c>
      <c r="B330" s="2978" t="s">
        <v>2878</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2886</v>
      </c>
      <c r="C332" s="2979">
        <v>0.15</v>
      </c>
      <c r="D332" s="2979">
        <v>0.15</v>
      </c>
      <c r="E332" s="2979">
        <v>0.15</v>
      </c>
      <c r="F332" s="2979">
        <v>0.15</v>
      </c>
      <c r="G332" s="2980">
        <v>0.15</v>
      </c>
    </row>
    <row r="333" spans="1:7">
      <c r="A333" s="2989" t="s">
        <v>307</v>
      </c>
      <c r="B333" s="2978" t="s">
        <v>2890</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2896</v>
      </c>
      <c r="C336" s="2979">
        <v>0.15</v>
      </c>
      <c r="D336" s="2979">
        <v>0.15</v>
      </c>
      <c r="E336" s="2979">
        <v>0.15</v>
      </c>
      <c r="F336" s="2979">
        <v>0.14199999999999999</v>
      </c>
      <c r="G336" s="2980">
        <v>0.15</v>
      </c>
    </row>
    <row r="337" spans="1:7">
      <c r="A337" s="2989" t="s">
        <v>307</v>
      </c>
      <c r="B337" s="2978" t="s">
        <v>2901</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2908</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2913</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2921</v>
      </c>
      <c r="C345" s="2979">
        <v>0.15</v>
      </c>
      <c r="D345" s="2979">
        <v>0.15</v>
      </c>
      <c r="E345" s="2979">
        <v>0.15</v>
      </c>
      <c r="F345" s="2979">
        <v>0.13800000000000001</v>
      </c>
      <c r="G345" s="2980">
        <v>0.15</v>
      </c>
    </row>
    <row r="346" spans="1:7">
      <c r="A346" s="2989" t="s">
        <v>307</v>
      </c>
      <c r="B346" s="2978" t="s">
        <v>2923</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2930</v>
      </c>
      <c r="C348" s="2979">
        <v>0.15</v>
      </c>
      <c r="D348" s="2979">
        <v>0.15</v>
      </c>
      <c r="E348" s="2979">
        <v>0.15</v>
      </c>
      <c r="F348" s="2979">
        <v>0.14399999999999999</v>
      </c>
      <c r="G348" s="2980">
        <v>0.15</v>
      </c>
    </row>
    <row r="349" spans="1:7">
      <c r="A349" s="2989" t="s">
        <v>307</v>
      </c>
      <c r="B349" s="2978" t="s">
        <v>2935</v>
      </c>
      <c r="C349" s="2979">
        <v>0.15</v>
      </c>
      <c r="D349" s="2979">
        <v>0.15</v>
      </c>
      <c r="E349" s="2979">
        <v>0.15</v>
      </c>
      <c r="F349" s="2979">
        <v>0.15</v>
      </c>
      <c r="G349" s="2980">
        <v>0.15</v>
      </c>
    </row>
    <row r="350" spans="1:7">
      <c r="A350" s="2989" t="s">
        <v>307</v>
      </c>
      <c r="B350" s="2978" t="s">
        <v>2938</v>
      </c>
      <c r="C350" s="2979">
        <v>0.15</v>
      </c>
      <c r="D350" s="2979">
        <v>0.15</v>
      </c>
      <c r="E350" s="2979">
        <v>0.15</v>
      </c>
      <c r="F350" s="2979">
        <v>0.14699999999999999</v>
      </c>
      <c r="G350" s="2980">
        <v>0.15</v>
      </c>
    </row>
    <row r="351" spans="1:7">
      <c r="A351" s="2989" t="s">
        <v>307</v>
      </c>
      <c r="B351" s="2978" t="s">
        <v>2943</v>
      </c>
      <c r="C351" s="2979">
        <v>0.15</v>
      </c>
      <c r="D351" s="2979">
        <v>0.15</v>
      </c>
      <c r="E351" s="2979">
        <v>0.15</v>
      </c>
      <c r="F351" s="2979">
        <v>0.13</v>
      </c>
      <c r="G351" s="2980">
        <v>0.15</v>
      </c>
    </row>
    <row r="352" spans="1:7">
      <c r="A352" s="2989" t="s">
        <v>307</v>
      </c>
      <c r="B352" s="2978" t="s">
        <v>2948</v>
      </c>
      <c r="C352" s="2979">
        <v>0.15</v>
      </c>
      <c r="D352" s="2979">
        <v>0.15</v>
      </c>
      <c r="E352" s="2979">
        <v>0.15</v>
      </c>
      <c r="F352" s="2979">
        <v>0.14599999999999999</v>
      </c>
      <c r="G352" s="2980">
        <v>0.15</v>
      </c>
    </row>
    <row r="353" spans="1:7">
      <c r="A353" s="2989" t="s">
        <v>307</v>
      </c>
      <c r="B353" s="2978" t="s">
        <v>2955</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2968</v>
      </c>
      <c r="C355" s="2979">
        <v>0.15</v>
      </c>
      <c r="D355" s="2979">
        <v>0.15</v>
      </c>
      <c r="E355" s="2979">
        <v>0.15</v>
      </c>
      <c r="F355" s="2979">
        <v>0.15</v>
      </c>
      <c r="G355" s="2980">
        <v>0.15</v>
      </c>
    </row>
    <row r="356" spans="1:7">
      <c r="A356" s="2989" t="s">
        <v>307</v>
      </c>
      <c r="B356" s="2978" t="s">
        <v>2975</v>
      </c>
      <c r="C356" s="2979">
        <v>0.15</v>
      </c>
      <c r="D356" s="2979">
        <v>0.15</v>
      </c>
      <c r="E356" s="2979">
        <v>0.15</v>
      </c>
      <c r="F356" s="2979">
        <v>0.15</v>
      </c>
      <c r="G356" s="2980">
        <v>0.15</v>
      </c>
    </row>
    <row r="357" spans="1:7" ht="15" thickBot="1">
      <c r="A357" s="2992" t="s">
        <v>307</v>
      </c>
      <c r="B357" s="2982" t="s">
        <v>2980</v>
      </c>
      <c r="C357" s="2983">
        <v>0.126</v>
      </c>
      <c r="D357" s="2983">
        <v>0.127</v>
      </c>
      <c r="E357" s="2983">
        <v>0.14299999999999999</v>
      </c>
      <c r="F357" s="2983">
        <v>0.125</v>
      </c>
      <c r="G357" s="2985">
        <v>0.129</v>
      </c>
    </row>
    <row r="358" spans="1:7">
      <c r="A358" s="2988" t="s">
        <v>2849</v>
      </c>
      <c r="B358" s="2974" t="s">
        <v>2863</v>
      </c>
      <c r="C358" s="2975">
        <v>0.15</v>
      </c>
      <c r="D358" s="2975">
        <v>0.15</v>
      </c>
      <c r="E358" s="2975">
        <v>0.15</v>
      </c>
      <c r="F358" s="2975">
        <v>0.15</v>
      </c>
      <c r="G358" s="2976">
        <v>0.15</v>
      </c>
    </row>
    <row r="359" spans="1:7">
      <c r="A359" s="2989" t="s">
        <v>2849</v>
      </c>
      <c r="B359" s="2978" t="s">
        <v>2869</v>
      </c>
      <c r="C359" s="2979">
        <v>0.1</v>
      </c>
      <c r="D359" s="2979">
        <v>0.1</v>
      </c>
      <c r="E359" s="2979">
        <v>0.1</v>
      </c>
      <c r="F359" s="2979">
        <v>0.1</v>
      </c>
      <c r="G359" s="2980">
        <v>0.1</v>
      </c>
    </row>
    <row r="360" spans="1:7">
      <c r="A360" s="2989" t="s">
        <v>2849</v>
      </c>
      <c r="B360" s="2978" t="s">
        <v>2875</v>
      </c>
      <c r="C360" s="2979">
        <v>0.15</v>
      </c>
      <c r="D360" s="2979">
        <v>0.15</v>
      </c>
      <c r="E360" s="2979">
        <v>0.15</v>
      </c>
      <c r="F360" s="2979">
        <v>0.14899999999999999</v>
      </c>
      <c r="G360" s="2980">
        <v>0.15</v>
      </c>
    </row>
    <row r="361" spans="1:7">
      <c r="A361" s="2989" t="s">
        <v>2849</v>
      </c>
      <c r="B361" s="2978" t="s">
        <v>153</v>
      </c>
      <c r="C361" s="2979">
        <v>0.15</v>
      </c>
      <c r="D361" s="2979">
        <v>0.15</v>
      </c>
      <c r="E361" s="2979">
        <v>0.15</v>
      </c>
      <c r="F361" s="2979">
        <v>0.115</v>
      </c>
      <c r="G361" s="2980">
        <v>0.15</v>
      </c>
    </row>
    <row r="362" spans="1:7">
      <c r="A362" s="2989" t="s">
        <v>2849</v>
      </c>
      <c r="B362" s="2978" t="s">
        <v>2882</v>
      </c>
      <c r="C362" s="2979">
        <v>0.15</v>
      </c>
      <c r="D362" s="2979">
        <v>0.15</v>
      </c>
      <c r="E362" s="2979">
        <v>0.15</v>
      </c>
      <c r="F362" s="2979">
        <v>0.106</v>
      </c>
      <c r="G362" s="2980">
        <v>0.15</v>
      </c>
    </row>
    <row r="363" spans="1:7">
      <c r="A363" s="2989" t="s">
        <v>2849</v>
      </c>
      <c r="B363" s="2978" t="s">
        <v>2887</v>
      </c>
      <c r="C363" s="2979">
        <v>0.15</v>
      </c>
      <c r="D363" s="2979">
        <v>0.15</v>
      </c>
      <c r="E363" s="2979">
        <v>0.15</v>
      </c>
      <c r="F363" s="2979">
        <v>0.14699999999999999</v>
      </c>
      <c r="G363" s="2980">
        <v>0.15</v>
      </c>
    </row>
    <row r="364" spans="1:7">
      <c r="A364" s="2989" t="s">
        <v>2849</v>
      </c>
      <c r="B364" s="2978" t="s">
        <v>2891</v>
      </c>
      <c r="C364" s="2979">
        <v>0.15</v>
      </c>
      <c r="D364" s="2979">
        <v>0.15</v>
      </c>
      <c r="E364" s="2979">
        <v>0.15</v>
      </c>
      <c r="F364" s="2979">
        <v>0.14799999999999999</v>
      </c>
      <c r="G364" s="2980">
        <v>0.15</v>
      </c>
    </row>
    <row r="365" spans="1:7">
      <c r="A365" s="2989" t="s">
        <v>2849</v>
      </c>
      <c r="B365" s="2978" t="s">
        <v>200</v>
      </c>
      <c r="C365" s="2979">
        <v>0.15</v>
      </c>
      <c r="D365" s="2979">
        <v>0.15</v>
      </c>
      <c r="E365" s="2979">
        <v>0.15</v>
      </c>
      <c r="F365" s="2979">
        <v>0.15</v>
      </c>
      <c r="G365" s="2980">
        <v>0.15</v>
      </c>
    </row>
    <row r="366" spans="1:7">
      <c r="A366" s="2989" t="s">
        <v>2849</v>
      </c>
      <c r="B366" s="2978" t="s">
        <v>2894</v>
      </c>
      <c r="C366" s="2979">
        <v>0.15</v>
      </c>
      <c r="D366" s="2979">
        <v>0.15</v>
      </c>
      <c r="E366" s="2979">
        <v>0.15</v>
      </c>
      <c r="F366" s="2979">
        <v>0.15</v>
      </c>
      <c r="G366" s="2980">
        <v>0.15</v>
      </c>
    </row>
    <row r="367" spans="1:7">
      <c r="A367" s="2989" t="s">
        <v>2849</v>
      </c>
      <c r="B367" s="2978" t="s">
        <v>2897</v>
      </c>
      <c r="C367" s="2979">
        <v>0.15</v>
      </c>
      <c r="D367" s="2979">
        <v>0.15</v>
      </c>
      <c r="E367" s="2979">
        <v>0.15</v>
      </c>
      <c r="F367" s="2979">
        <v>0.14699999999999999</v>
      </c>
      <c r="G367" s="2980">
        <v>0.15</v>
      </c>
    </row>
    <row r="368" spans="1:7">
      <c r="A368" s="2989" t="s">
        <v>2849</v>
      </c>
      <c r="B368" s="2978" t="s">
        <v>2902</v>
      </c>
      <c r="C368" s="2979">
        <v>0.15</v>
      </c>
      <c r="D368" s="2979">
        <v>0.15</v>
      </c>
      <c r="E368" s="2979">
        <v>0.15</v>
      </c>
      <c r="F368" s="2979">
        <v>0.13600000000000001</v>
      </c>
      <c r="G368" s="2980">
        <v>0.15</v>
      </c>
    </row>
    <row r="369" spans="1:7">
      <c r="A369" s="2989" t="s">
        <v>2849</v>
      </c>
      <c r="B369" s="2978" t="s">
        <v>214</v>
      </c>
      <c r="C369" s="2979">
        <v>0.15</v>
      </c>
      <c r="D369" s="2979">
        <v>0.15</v>
      </c>
      <c r="E369" s="2979">
        <v>0.15</v>
      </c>
      <c r="F369" s="2979">
        <v>0.14399999999999999</v>
      </c>
      <c r="G369" s="2980">
        <v>0.15</v>
      </c>
    </row>
    <row r="370" spans="1:7">
      <c r="A370" s="2989" t="s">
        <v>2849</v>
      </c>
      <c r="B370" s="2978" t="s">
        <v>221</v>
      </c>
      <c r="C370" s="2979">
        <v>0.15</v>
      </c>
      <c r="D370" s="2979">
        <v>0.15</v>
      </c>
      <c r="E370" s="2979">
        <v>0.15</v>
      </c>
      <c r="F370" s="2979">
        <v>0.14599999999999999</v>
      </c>
      <c r="G370" s="2980">
        <v>0.15</v>
      </c>
    </row>
    <row r="371" spans="1:7">
      <c r="A371" s="2989" t="s">
        <v>2849</v>
      </c>
      <c r="B371" s="2978" t="s">
        <v>229</v>
      </c>
      <c r="C371" s="2979">
        <v>0.15</v>
      </c>
      <c r="D371" s="2979">
        <v>0.15</v>
      </c>
      <c r="E371" s="2979">
        <v>0.15</v>
      </c>
      <c r="F371" s="2979">
        <v>0.12</v>
      </c>
      <c r="G371" s="2980">
        <v>0.15</v>
      </c>
    </row>
    <row r="372" spans="1:7">
      <c r="A372" s="2989" t="s">
        <v>2849</v>
      </c>
      <c r="B372" s="2978" t="s">
        <v>2910</v>
      </c>
      <c r="C372" s="2979">
        <v>0.15</v>
      </c>
      <c r="D372" s="2979">
        <v>0.15</v>
      </c>
      <c r="E372" s="2979">
        <v>0.15</v>
      </c>
      <c r="F372" s="2979">
        <v>0.14299999999999999</v>
      </c>
      <c r="G372" s="2980">
        <v>0.15</v>
      </c>
    </row>
    <row r="373" spans="1:7">
      <c r="A373" s="2989" t="s">
        <v>2849</v>
      </c>
      <c r="B373" s="2978" t="s">
        <v>258</v>
      </c>
      <c r="C373" s="2979">
        <v>0.15</v>
      </c>
      <c r="D373" s="2979">
        <v>0.15</v>
      </c>
      <c r="E373" s="2979">
        <v>0.15</v>
      </c>
      <c r="F373" s="2979">
        <v>0.14599999999999999</v>
      </c>
      <c r="G373" s="2980">
        <v>0.15</v>
      </c>
    </row>
    <row r="374" spans="1:7">
      <c r="A374" s="2989" t="s">
        <v>2849</v>
      </c>
      <c r="B374" s="2978" t="s">
        <v>266</v>
      </c>
      <c r="C374" s="2979">
        <v>0.15</v>
      </c>
      <c r="D374" s="2979">
        <v>0.15</v>
      </c>
      <c r="E374" s="2979">
        <v>0.15</v>
      </c>
      <c r="F374" s="2979">
        <v>0.14399999999999999</v>
      </c>
      <c r="G374" s="2980">
        <v>0.15</v>
      </c>
    </row>
    <row r="375" spans="1:7">
      <c r="A375" s="2989" t="s">
        <v>2849</v>
      </c>
      <c r="B375" s="2978" t="s">
        <v>2918</v>
      </c>
      <c r="C375" s="2979">
        <v>0.15</v>
      </c>
      <c r="D375" s="2979">
        <v>0.15</v>
      </c>
      <c r="E375" s="2979">
        <v>0.15</v>
      </c>
      <c r="F375" s="2979">
        <v>0.13</v>
      </c>
      <c r="G375" s="2980">
        <v>0.15</v>
      </c>
    </row>
    <row r="376" spans="1:7">
      <c r="A376" s="2989" t="s">
        <v>2849</v>
      </c>
      <c r="B376" s="2978" t="s">
        <v>277</v>
      </c>
      <c r="C376" s="2979">
        <v>0.15</v>
      </c>
      <c r="D376" s="2979">
        <v>0.15</v>
      </c>
      <c r="E376" s="2979">
        <v>0.15</v>
      </c>
      <c r="F376" s="2979">
        <v>0.14199999999999999</v>
      </c>
      <c r="G376" s="2980">
        <v>0.15</v>
      </c>
    </row>
    <row r="377" spans="1:7" ht="15" thickBot="1">
      <c r="A377" s="2992" t="s">
        <v>2849</v>
      </c>
      <c r="B377" s="2982" t="s">
        <v>2924</v>
      </c>
      <c r="C377" s="2983">
        <v>0.15</v>
      </c>
      <c r="D377" s="2983">
        <v>0.15</v>
      </c>
      <c r="E377" s="2983">
        <v>0.15</v>
      </c>
      <c r="F377" s="2983">
        <v>0.14000000000000001</v>
      </c>
      <c r="G377" s="2985">
        <v>0.15</v>
      </c>
    </row>
    <row r="378" spans="1:7">
      <c r="A378" s="2988" t="s">
        <v>2850</v>
      </c>
      <c r="B378" s="2974" t="s">
        <v>2864</v>
      </c>
      <c r="C378" s="2975">
        <v>0.15</v>
      </c>
      <c r="D378" s="2975">
        <v>0.15</v>
      </c>
      <c r="E378" s="2975">
        <v>0.15</v>
      </c>
      <c r="F378" s="2975">
        <v>0.107</v>
      </c>
      <c r="G378" s="2976">
        <v>0.15</v>
      </c>
    </row>
    <row r="379" spans="1:7">
      <c r="A379" s="2989" t="s">
        <v>2850</v>
      </c>
      <c r="B379" s="2978" t="s">
        <v>2870</v>
      </c>
      <c r="C379" s="2979">
        <v>0.15</v>
      </c>
      <c r="D379" s="2979">
        <v>0.15</v>
      </c>
      <c r="E379" s="2979">
        <v>0.15</v>
      </c>
      <c r="F379" s="2979">
        <v>0.115</v>
      </c>
      <c r="G379" s="2980">
        <v>0.14899999999999999</v>
      </c>
    </row>
    <row r="380" spans="1:7">
      <c r="A380" s="2989" t="s">
        <v>2850</v>
      </c>
      <c r="B380" s="2978" t="s">
        <v>2876</v>
      </c>
      <c r="C380" s="2979">
        <v>0.15</v>
      </c>
      <c r="D380" s="2979">
        <v>0.15</v>
      </c>
      <c r="E380" s="2979">
        <v>0.15</v>
      </c>
      <c r="F380" s="2979">
        <v>0.1</v>
      </c>
      <c r="G380" s="2980">
        <v>0.14799999999999999</v>
      </c>
    </row>
    <row r="381" spans="1:7">
      <c r="A381" s="2989" t="s">
        <v>2850</v>
      </c>
      <c r="B381" s="2978" t="s">
        <v>2879</v>
      </c>
      <c r="C381" s="2979">
        <v>0.15</v>
      </c>
      <c r="D381" s="2979">
        <v>0.15</v>
      </c>
      <c r="E381" s="2979">
        <v>0.15</v>
      </c>
      <c r="F381" s="2979">
        <v>0.126</v>
      </c>
      <c r="G381" s="2980">
        <v>0.15</v>
      </c>
    </row>
    <row r="382" spans="1:7">
      <c r="A382" s="2989" t="s">
        <v>2850</v>
      </c>
      <c r="B382" s="2978" t="s">
        <v>2883</v>
      </c>
      <c r="C382" s="2979">
        <v>0.15</v>
      </c>
      <c r="D382" s="2979">
        <v>0.15</v>
      </c>
      <c r="E382" s="2979">
        <v>0.15</v>
      </c>
      <c r="F382" s="2979">
        <v>0.15</v>
      </c>
      <c r="G382" s="2980">
        <v>0.15</v>
      </c>
    </row>
    <row r="383" spans="1:7">
      <c r="A383" s="2989" t="s">
        <v>2850</v>
      </c>
      <c r="B383" s="2978" t="s">
        <v>2888</v>
      </c>
      <c r="C383" s="2979">
        <v>0.15</v>
      </c>
      <c r="D383" s="2979">
        <v>0.15</v>
      </c>
      <c r="E383" s="2979">
        <v>0.15</v>
      </c>
      <c r="F383" s="2979">
        <v>0.14699999999999999</v>
      </c>
      <c r="G383" s="2980">
        <v>0.15</v>
      </c>
    </row>
    <row r="384" spans="1:7" ht="15" thickBot="1">
      <c r="A384" s="2999" t="s">
        <v>2850</v>
      </c>
      <c r="B384" s="3000" t="s">
        <v>2892</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4"/>
  </cols>
  <sheetData>
    <row r="1" spans="1:6">
      <c r="A1" s="3398" t="s">
        <v>3231</v>
      </c>
      <c r="B1" s="3398"/>
      <c r="C1" s="3398"/>
      <c r="D1" s="3398"/>
      <c r="E1" s="3398"/>
      <c r="F1" s="3399"/>
    </row>
    <row r="2" spans="1:6">
      <c r="A2" s="3003" t="s">
        <v>3232</v>
      </c>
    </row>
    <row r="3" spans="1:6">
      <c r="A3" s="3003" t="s">
        <v>3233</v>
      </c>
      <c r="F3" s="3004" t="s">
        <v>3234</v>
      </c>
    </row>
    <row r="4" spans="1:6">
      <c r="A4" s="3005" t="s">
        <v>672</v>
      </c>
      <c r="B4" s="3005" t="s">
        <v>673</v>
      </c>
      <c r="C4" s="3005" t="s">
        <v>21</v>
      </c>
      <c r="D4" s="3005" t="s">
        <v>674</v>
      </c>
      <c r="E4" s="3005" t="s">
        <v>3</v>
      </c>
      <c r="F4" s="3005" t="s">
        <v>3235</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433" t="str">
        <f>项目基本情况!S2</f>
        <v>北京市房地产</v>
      </c>
      <c r="B2" s="3434"/>
      <c r="C2" s="3434"/>
      <c r="D2" s="3434"/>
      <c r="E2" s="3434"/>
      <c r="F2" s="3434"/>
      <c r="G2" s="3434"/>
      <c r="H2" s="3434"/>
      <c r="I2" s="3435"/>
    </row>
    <row r="3" spans="1:12" ht="13.2">
      <c r="A3" s="3437" t="s">
        <v>1264</v>
      </c>
      <c r="B3" s="3438"/>
      <c r="C3" s="3438"/>
      <c r="D3" s="3438"/>
      <c r="E3" s="3438"/>
      <c r="F3" s="3438"/>
      <c r="G3" s="3438"/>
      <c r="H3" s="3438"/>
      <c r="I3" s="3438"/>
    </row>
    <row r="4" spans="1:12" ht="14.4">
      <c r="A4" s="1624" t="s">
        <v>1265</v>
      </c>
      <c r="B4" s="1625" t="s">
        <v>1266</v>
      </c>
      <c r="C4" s="1626"/>
      <c r="D4" s="1626"/>
      <c r="E4" s="3439" t="s">
        <v>1267</v>
      </c>
      <c r="F4" s="3440"/>
      <c r="G4" s="3440"/>
      <c r="H4" s="3440"/>
      <c r="I4" s="3441"/>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413" t="s">
        <v>1268</v>
      </c>
      <c r="B5" s="3309">
        <v>25</v>
      </c>
      <c r="C5" s="3416"/>
      <c r="D5" s="3436"/>
      <c r="E5" s="123" t="s">
        <v>1269</v>
      </c>
      <c r="F5" s="1627"/>
      <c r="G5" s="1627"/>
      <c r="H5" s="1627"/>
      <c r="I5" s="1281"/>
    </row>
    <row r="6" spans="1:12" ht="13.2">
      <c r="A6" s="3413"/>
      <c r="B6" s="3309"/>
      <c r="C6" s="3417"/>
      <c r="D6" s="3436"/>
      <c r="E6" s="123" t="s">
        <v>1270</v>
      </c>
      <c r="F6" s="1627"/>
      <c r="G6" s="1627"/>
      <c r="H6" s="1627"/>
      <c r="I6" s="1281"/>
    </row>
    <row r="7" spans="1:12" ht="13.2">
      <c r="A7" s="3413"/>
      <c r="B7" s="3309"/>
      <c r="C7" s="3418"/>
      <c r="D7" s="3436"/>
      <c r="E7" s="123" t="s">
        <v>1271</v>
      </c>
      <c r="F7" s="1627"/>
      <c r="G7" s="1627"/>
      <c r="H7" s="1627"/>
      <c r="I7" s="1281"/>
    </row>
    <row r="8" spans="1:12" ht="13.2">
      <c r="A8" s="3413" t="s">
        <v>1272</v>
      </c>
      <c r="B8" s="3309">
        <v>15</v>
      </c>
      <c r="C8" s="3416"/>
      <c r="D8" s="3436"/>
      <c r="E8" s="123" t="s">
        <v>1273</v>
      </c>
      <c r="F8" s="1627"/>
      <c r="G8" s="1627"/>
      <c r="H8" s="1627"/>
      <c r="I8" s="1281"/>
    </row>
    <row r="9" spans="1:12" ht="13.2">
      <c r="A9" s="3413"/>
      <c r="B9" s="3309"/>
      <c r="C9" s="3418"/>
      <c r="D9" s="3436"/>
      <c r="E9" s="123" t="s">
        <v>1274</v>
      </c>
      <c r="F9" s="1627"/>
      <c r="G9" s="1627"/>
      <c r="H9" s="1627"/>
      <c r="I9" s="1281"/>
    </row>
    <row r="10" spans="1:12" ht="13.2">
      <c r="A10" s="3413" t="s">
        <v>1275</v>
      </c>
      <c r="B10" s="3309">
        <v>15</v>
      </c>
      <c r="C10" s="3416"/>
      <c r="D10" s="3436"/>
      <c r="E10" s="123" t="s">
        <v>1276</v>
      </c>
      <c r="F10" s="1627"/>
      <c r="G10" s="1627"/>
      <c r="H10" s="1627"/>
      <c r="I10" s="1281"/>
    </row>
    <row r="11" spans="1:12" ht="13.2">
      <c r="A11" s="3413"/>
      <c r="B11" s="3309"/>
      <c r="C11" s="3418"/>
      <c r="D11" s="3436"/>
      <c r="E11" s="123" t="s">
        <v>1277</v>
      </c>
      <c r="F11" s="1627"/>
      <c r="G11" s="1627"/>
      <c r="H11" s="1627"/>
      <c r="I11" s="1281"/>
    </row>
    <row r="12" spans="1:12" ht="13.2">
      <c r="A12" s="3413" t="s">
        <v>1278</v>
      </c>
      <c r="B12" s="3309">
        <v>15</v>
      </c>
      <c r="C12" s="3416"/>
      <c r="D12" s="3436"/>
      <c r="E12" s="123" t="s">
        <v>1279</v>
      </c>
      <c r="F12" s="1627"/>
      <c r="G12" s="1627"/>
      <c r="H12" s="1627"/>
      <c r="I12" s="1281"/>
    </row>
    <row r="13" spans="1:12" ht="13.2">
      <c r="A13" s="3413"/>
      <c r="B13" s="3309"/>
      <c r="C13" s="3418"/>
      <c r="D13" s="3436"/>
      <c r="E13" s="123" t="s">
        <v>1280</v>
      </c>
      <c r="F13" s="1627"/>
      <c r="G13" s="1627"/>
      <c r="H13" s="1627"/>
      <c r="I13" s="1281"/>
    </row>
    <row r="14" spans="1:12" ht="13.2">
      <c r="A14" s="3413" t="s">
        <v>1281</v>
      </c>
      <c r="B14" s="3309">
        <v>30</v>
      </c>
      <c r="C14" s="3416"/>
      <c r="D14" s="3436"/>
      <c r="E14" s="123" t="s">
        <v>1282</v>
      </c>
      <c r="F14" s="1627"/>
      <c r="G14" s="1627"/>
      <c r="H14" s="1627"/>
      <c r="I14" s="1281"/>
    </row>
    <row r="15" spans="1:12" ht="13.2">
      <c r="A15" s="3413"/>
      <c r="B15" s="3309"/>
      <c r="C15" s="3417"/>
      <c r="D15" s="3436"/>
      <c r="E15" s="123" t="s">
        <v>1283</v>
      </c>
      <c r="F15" s="1627"/>
      <c r="G15" s="1627"/>
      <c r="H15" s="1627"/>
      <c r="I15" s="1281"/>
    </row>
    <row r="16" spans="1:12" ht="13.2">
      <c r="A16" s="3413"/>
      <c r="B16" s="3309"/>
      <c r="C16" s="3418"/>
      <c r="D16" s="3436"/>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423" t="s">
        <v>2130</v>
      </c>
      <c r="F18" s="3424"/>
      <c r="G18" s="3424"/>
      <c r="H18" s="3424"/>
      <c r="I18" s="3424"/>
      <c r="K18" s="294" t="s">
        <v>1289</v>
      </c>
      <c r="L18" s="294">
        <f>IF(C1="",'数据-汇总表'!E3,SUMIF(项目类型,C1,'数据-汇总表'!E17:E26)+SUMIF(项目类型,C1,'数据-汇总表'!I17:I26))</f>
        <v>0</v>
      </c>
      <c r="M18" s="294">
        <f>IF(C1="",'数据-汇总表'!E3,SUMIF(项目类型,C1,'数据-汇总表'!E17:E26))</f>
        <v>0</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407" t="s">
        <v>1299</v>
      </c>
      <c r="B24" s="1631" t="s">
        <v>1291</v>
      </c>
      <c r="C24" s="128">
        <f>IF(B30=0,0,D30)</f>
        <v>0</v>
      </c>
      <c r="D24" s="1637"/>
      <c r="E24" s="121"/>
      <c r="F24" s="121"/>
      <c r="G24" s="121"/>
      <c r="H24" s="121"/>
      <c r="I24" s="121"/>
    </row>
    <row r="25" spans="1:36" ht="14.4">
      <c r="A25" s="340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427" t="s">
        <v>1312</v>
      </c>
      <c r="B36" s="1652" t="s">
        <v>1313</v>
      </c>
      <c r="C36" s="137"/>
      <c r="D36" s="1653"/>
      <c r="E36" s="1567"/>
      <c r="F36" s="1654"/>
      <c r="G36" s="121"/>
      <c r="H36" s="121"/>
      <c r="I36" s="121"/>
    </row>
    <row r="37" spans="1:15" ht="15" thickBot="1">
      <c r="A37" s="3428"/>
      <c r="B37" s="1555" t="s">
        <v>1314</v>
      </c>
      <c r="C37" s="139"/>
      <c r="D37" s="1071"/>
      <c r="E37" s="1071"/>
      <c r="F37" s="1654"/>
      <c r="G37" s="121"/>
      <c r="H37" s="121"/>
      <c r="I37" s="121"/>
    </row>
    <row r="38" spans="1:15" ht="15" thickBot="1">
      <c r="A38" s="3429"/>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404" t="s">
        <v>1326</v>
      </c>
      <c r="B45" s="3405"/>
      <c r="C45" s="3406"/>
      <c r="D45" s="147" t="e">
        <f ca="1">ROUND(H101*F45,0)</f>
        <v>#REF!</v>
      </c>
      <c r="E45" s="148" t="s">
        <v>1327</v>
      </c>
      <c r="F45" s="149">
        <v>1</v>
      </c>
      <c r="G45" s="150" t="s">
        <v>1328</v>
      </c>
      <c r="H45" s="121"/>
      <c r="I45" s="121"/>
      <c r="J45" s="3482" t="s">
        <v>1329</v>
      </c>
      <c r="K45" s="3482"/>
      <c r="L45" s="3482"/>
      <c r="M45" s="3482"/>
      <c r="N45" s="3482"/>
      <c r="O45" s="3482"/>
    </row>
    <row r="46" spans="1:15" ht="14.25" customHeight="1">
      <c r="A46" s="3401" t="s">
        <v>1330</v>
      </c>
      <c r="B46" s="3402"/>
      <c r="C46" s="3402"/>
      <c r="D46" s="3402"/>
      <c r="E46" s="3402"/>
      <c r="F46" s="3402"/>
      <c r="G46" s="3403"/>
      <c r="H46" s="1668"/>
      <c r="I46" s="151"/>
      <c r="J46" s="2310">
        <v>1</v>
      </c>
      <c r="K46" s="3463" t="s">
        <v>1331</v>
      </c>
      <c r="L46" s="3463"/>
      <c r="M46" s="3483"/>
      <c r="N46" s="3483"/>
      <c r="O46" s="3483"/>
    </row>
    <row r="47" spans="1:15" ht="12" customHeight="1">
      <c r="A47" s="152" t="s">
        <v>1332</v>
      </c>
      <c r="B47" s="153"/>
      <c r="C47" s="154"/>
      <c r="D47" s="1024" t="s">
        <v>1333</v>
      </c>
      <c r="E47" s="294" t="s">
        <v>1334</v>
      </c>
      <c r="F47" s="155" t="s">
        <v>1335</v>
      </c>
      <c r="G47" s="2333" t="s">
        <v>1336</v>
      </c>
      <c r="H47" s="2334"/>
      <c r="I47" s="151"/>
      <c r="J47" s="2310">
        <v>2</v>
      </c>
      <c r="K47" s="3463" t="s">
        <v>1337</v>
      </c>
      <c r="L47" s="3463"/>
      <c r="M47" s="3484">
        <f>'数据-取费表'!B2</f>
        <v>45845</v>
      </c>
      <c r="N47" s="3484"/>
      <c r="O47" s="3484"/>
    </row>
    <row r="48" spans="1:15" ht="26.4">
      <c r="A48" s="3432" t="s">
        <v>1338</v>
      </c>
      <c r="B48" s="3415"/>
      <c r="C48" s="3415"/>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463" t="s">
        <v>1340</v>
      </c>
      <c r="L48" s="3463"/>
      <c r="M48" s="3485" t="e">
        <f ca="1">H101</f>
        <v>#REF!</v>
      </c>
      <c r="N48" s="3485"/>
      <c r="O48" s="3485"/>
    </row>
    <row r="49" spans="1:35" ht="25.5" customHeight="1">
      <c r="A49" s="2152" t="s">
        <v>1341</v>
      </c>
      <c r="B49" s="3400" t="s">
        <v>1342</v>
      </c>
      <c r="C49" s="3400"/>
      <c r="D49" s="1478">
        <v>0</v>
      </c>
      <c r="E49" s="316" t="s">
        <v>1343</v>
      </c>
      <c r="F49" s="2233" t="s">
        <v>28</v>
      </c>
      <c r="G49" s="3469"/>
      <c r="H49" s="2134" t="s">
        <v>2133</v>
      </c>
      <c r="I49" s="2135"/>
      <c r="J49" s="2310">
        <v>4</v>
      </c>
      <c r="K49" s="3463" t="str">
        <f>IF(项目基本情况!E8="房地产抵押价值","房地产抵押价值","抵押担保权已注销时的房地产抵押价值")</f>
        <v>房地产抵押价值</v>
      </c>
      <c r="L49" s="3463"/>
      <c r="M49" s="3485" t="str">
        <f ca="1">IF(项目基本情况!E8="房地产抵押价值",H107,H109)</f>
        <v>——</v>
      </c>
      <c r="N49" s="3485"/>
      <c r="O49" s="3485"/>
    </row>
    <row r="50" spans="1:35" ht="25.5" customHeight="1">
      <c r="A50" s="2338"/>
      <c r="B50" s="3400" t="s">
        <v>1344</v>
      </c>
      <c r="C50" s="3400"/>
      <c r="D50" s="2189"/>
      <c r="E50" s="323"/>
      <c r="F50" s="2233"/>
      <c r="G50" s="3470"/>
      <c r="H50" s="2136" t="s">
        <v>2134</v>
      </c>
      <c r="I50" s="2135"/>
      <c r="J50" s="3482" t="s">
        <v>1345</v>
      </c>
      <c r="K50" s="3482"/>
      <c r="L50" s="3482"/>
      <c r="M50" s="3482"/>
      <c r="N50" s="3482"/>
      <c r="O50" s="3482"/>
    </row>
    <row r="51" spans="1:35" ht="20.399999999999999" customHeight="1">
      <c r="A51" s="2339"/>
      <c r="B51" s="3400" t="s">
        <v>1346</v>
      </c>
      <c r="C51" s="3400"/>
      <c r="D51" s="1024"/>
      <c r="E51" s="319"/>
      <c r="F51" s="2233"/>
      <c r="G51" s="3471"/>
      <c r="H51" s="2136" t="s">
        <v>2135</v>
      </c>
      <c r="I51" s="2135"/>
      <c r="J51" s="2311" t="s">
        <v>1347</v>
      </c>
      <c r="K51" s="3463" t="s">
        <v>1348</v>
      </c>
      <c r="L51" s="3463"/>
      <c r="M51" s="2311" t="s">
        <v>1349</v>
      </c>
      <c r="N51" s="2311" t="s">
        <v>1350</v>
      </c>
      <c r="O51" s="2311" t="s">
        <v>1351</v>
      </c>
    </row>
    <row r="52" spans="1:35" ht="24" customHeight="1">
      <c r="A52" s="2153" t="s">
        <v>1352</v>
      </c>
      <c r="B52" s="3400" t="s">
        <v>1353</v>
      </c>
      <c r="C52" s="3400"/>
      <c r="D52" s="1024" t="e">
        <f ca="1">ROUND(D45*'数据-取费表'!B41/(1+'数据-取费表'!C42),0)</f>
        <v>#REF!</v>
      </c>
      <c r="E52" s="1256" t="s">
        <v>1354</v>
      </c>
      <c r="F52" s="2340">
        <f>'数据-取费表'!B41</f>
        <v>0</v>
      </c>
      <c r="G52" s="2341"/>
      <c r="H52" s="2331"/>
      <c r="I52" s="1669"/>
      <c r="J52" s="2310">
        <v>1</v>
      </c>
      <c r="K52" s="3464" t="s">
        <v>1355</v>
      </c>
      <c r="L52" s="3464"/>
      <c r="M52" s="2312" t="b">
        <f>D48</f>
        <v>0</v>
      </c>
      <c r="N52" s="2310" t="str">
        <f>E48</f>
        <v>销售额×税（费）率</v>
      </c>
      <c r="O52" s="2313">
        <f>F48</f>
        <v>0</v>
      </c>
    </row>
    <row r="53" spans="1:35" ht="12" customHeight="1">
      <c r="A53" s="2153" t="s">
        <v>1356</v>
      </c>
      <c r="B53" s="3425" t="s">
        <v>2290</v>
      </c>
      <c r="C53" s="3426"/>
      <c r="D53" s="1024" t="e">
        <f ca="1">ROUND(D45*'数据-取费表'!B41/(1+'数据-取费表'!C42),0)</f>
        <v>#REF!</v>
      </c>
      <c r="E53" s="1256" t="s">
        <v>1354</v>
      </c>
      <c r="F53" s="2340">
        <f>'数据-取费表'!B41</f>
        <v>0</v>
      </c>
      <c r="G53" s="2341"/>
      <c r="H53" s="2331"/>
      <c r="I53" s="1669"/>
      <c r="J53" s="2310">
        <v>2</v>
      </c>
      <c r="K53" s="3464" t="s">
        <v>1357</v>
      </c>
      <c r="L53" s="3464"/>
      <c r="M53" s="2312" t="e">
        <f t="shared" ref="M53:O54" ca="1" si="0">D55</f>
        <v>#REF!</v>
      </c>
      <c r="N53" s="2310" t="str">
        <f t="shared" si="0"/>
        <v>销售额×税（费）率</v>
      </c>
      <c r="O53" s="2313" t="str">
        <f t="shared" si="0"/>
        <v>免征</v>
      </c>
    </row>
    <row r="54" spans="1:35" ht="12" customHeight="1">
      <c r="A54" s="2153" t="s">
        <v>1358</v>
      </c>
      <c r="B54" s="3425" t="s">
        <v>2291</v>
      </c>
      <c r="C54" s="3426"/>
      <c r="D54" s="1024" t="e">
        <f ca="1">C68</f>
        <v>#REF!</v>
      </c>
      <c r="E54" s="319" t="s">
        <v>1359</v>
      </c>
      <c r="F54" s="2340">
        <f>'数据-取费表'!B41</f>
        <v>0</v>
      </c>
      <c r="G54" s="2341"/>
      <c r="H54" s="2342"/>
      <c r="I54" s="1669"/>
      <c r="J54" s="2310">
        <v>3</v>
      </c>
      <c r="K54" s="3464" t="s">
        <v>1360</v>
      </c>
      <c r="L54" s="3464"/>
      <c r="M54" s="2312" t="e">
        <f t="shared" ca="1" si="0"/>
        <v>#REF!</v>
      </c>
      <c r="N54" s="2310" t="str">
        <f t="shared" si="0"/>
        <v>增值额×税（费）率</v>
      </c>
      <c r="O54" s="2314" t="str">
        <f t="shared" si="0"/>
        <v>免征</v>
      </c>
    </row>
    <row r="55" spans="1:35" ht="24" customHeight="1">
      <c r="A55" s="3414" t="s">
        <v>1361</v>
      </c>
      <c r="B55" s="3415"/>
      <c r="C55" s="3415"/>
      <c r="D55" s="12" t="e">
        <f ca="1">IF(H55="个人住宅",0,ROUND(D45*I55,0))</f>
        <v>#REF!</v>
      </c>
      <c r="E55" s="1256" t="s">
        <v>1362</v>
      </c>
      <c r="F55" s="2340" t="str">
        <f>IF(H55="正常",I55,"免征")</f>
        <v>免征</v>
      </c>
      <c r="G55" s="2341"/>
      <c r="H55" s="2337"/>
      <c r="I55" s="157">
        <f>'数据-取费表'!B49</f>
        <v>0</v>
      </c>
      <c r="J55" s="2310">
        <f>IF(H59="非个人房产","",4)</f>
        <v>4</v>
      </c>
      <c r="K55" s="3464" t="str">
        <f>IF(H59="非个人房产","——","个人所得税")</f>
        <v>个人所得税</v>
      </c>
      <c r="L55" s="3464"/>
      <c r="M55" s="2315" t="e">
        <f ca="1">D59</f>
        <v>#REF!</v>
      </c>
      <c r="N55" s="1883" t="str">
        <f>E59</f>
        <v>差额计税</v>
      </c>
      <c r="O55" s="2316">
        <f>F59</f>
        <v>0.01</v>
      </c>
    </row>
    <row r="56" spans="1:35" ht="25.2">
      <c r="A56" s="3414" t="s">
        <v>1363</v>
      </c>
      <c r="B56" s="3415"/>
      <c r="C56" s="3415"/>
      <c r="D56" s="12" t="e">
        <f ca="1">IF(H56="个人住宅",D57,D58)</f>
        <v>#REF!</v>
      </c>
      <c r="E56" s="1256" t="s">
        <v>1364</v>
      </c>
      <c r="F56" s="2340" t="str">
        <f>IF(H56="正常",F58,"免征")</f>
        <v>免征</v>
      </c>
      <c r="G56" s="2343" t="s">
        <v>1365</v>
      </c>
      <c r="H56" s="2344"/>
      <c r="I56" s="1670"/>
      <c r="J56" s="2310" t="str">
        <f>IF(项目基本情况!K6="上海银行",IF(J55="",4,J55+1),"")</f>
        <v/>
      </c>
      <c r="K56" s="3487" t="str">
        <f>IF(项目基本情况!K6="上海银行","其他处置费用","")</f>
        <v/>
      </c>
      <c r="L56" s="3488"/>
      <c r="M56" s="2312" t="str">
        <f>IF(项目基本情况!K6="上海银行",M69,"")</f>
        <v/>
      </c>
      <c r="N56" s="3487" t="str">
        <f>IF(项目基本情况!K6="上海银行","包含处置中涉及的律师、诉讼、拍卖、评估等费用","")</f>
        <v/>
      </c>
      <c r="O56" s="3490"/>
    </row>
    <row r="57" spans="1:35" ht="13.2">
      <c r="A57" s="2153" t="s">
        <v>1341</v>
      </c>
      <c r="B57" s="3425" t="s">
        <v>1366</v>
      </c>
      <c r="C57" s="3426"/>
      <c r="D57" s="1478">
        <v>0</v>
      </c>
      <c r="E57" s="316" t="s">
        <v>1343</v>
      </c>
      <c r="F57" s="294"/>
      <c r="G57" s="2341"/>
      <c r="H57" s="2345"/>
      <c r="I57" s="1670"/>
      <c r="J57" s="3464">
        <f>IF(AND(J55="",J56=""),4,IF(项目基本情况!K6="上海银行",结果表!J56+1,结果表!J55+1))</f>
        <v>5</v>
      </c>
      <c r="K57" s="3464" t="s">
        <v>1367</v>
      </c>
      <c r="L57" s="2317" t="s">
        <v>1368</v>
      </c>
      <c r="M57" s="2318"/>
      <c r="N57" s="2319">
        <f ca="1">SUMIF(M52:M56,"&lt;9e307")</f>
        <v>0</v>
      </c>
      <c r="O57" s="2320"/>
      <c r="P57" s="2465" t="e">
        <f ca="1">N57/M49</f>
        <v>#VALUE!</v>
      </c>
    </row>
    <row r="58" spans="1:35" ht="25.2">
      <c r="A58" s="2153" t="s">
        <v>1352</v>
      </c>
      <c r="B58" s="3425" t="s">
        <v>1369</v>
      </c>
      <c r="C58" s="3400"/>
      <c r="D58" s="12" t="e">
        <f ca="1">IF(H58="转让取得",C81,C97)</f>
        <v>#REF!</v>
      </c>
      <c r="E58" s="1256" t="s">
        <v>1364</v>
      </c>
      <c r="F58" s="294" t="s">
        <v>28</v>
      </c>
      <c r="G58" s="2341"/>
      <c r="H58" s="2344"/>
      <c r="I58" s="1670"/>
      <c r="J58" s="3464"/>
      <c r="K58" s="3464"/>
      <c r="L58" s="2317" t="s">
        <v>1370</v>
      </c>
      <c r="M58" s="2321"/>
      <c r="N58" s="2322" t="str">
        <f ca="1">NUMBERSTRING(INT(N57*10000),2)&amp;"元整"</f>
        <v>零元整</v>
      </c>
      <c r="O58" s="2323"/>
    </row>
    <row r="59" spans="1:35" ht="24.6" thickBot="1">
      <c r="A59" s="3467" t="s">
        <v>1371</v>
      </c>
      <c r="B59" s="3468"/>
      <c r="C59" s="3468"/>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2136</v>
      </c>
      <c r="J59" s="3465">
        <f>J57+1</f>
        <v>6</v>
      </c>
      <c r="K59" s="3464" t="s">
        <v>1372</v>
      </c>
      <c r="L59" s="2310" t="s">
        <v>1368</v>
      </c>
      <c r="M59" s="2324"/>
      <c r="N59" s="2325" t="e">
        <f ca="1">M49-N57</f>
        <v>#VALUE!</v>
      </c>
      <c r="O59" s="2326"/>
    </row>
    <row r="60" spans="1:35" ht="12" customHeight="1">
      <c r="A60" s="1671"/>
      <c r="B60" s="646"/>
      <c r="C60" s="646"/>
      <c r="D60" s="646"/>
      <c r="E60" s="1466"/>
      <c r="F60" s="1670"/>
      <c r="G60" s="1670"/>
      <c r="H60" s="151"/>
      <c r="I60" s="121"/>
      <c r="J60" s="3466"/>
      <c r="K60" s="3464"/>
      <c r="L60" s="2317" t="s">
        <v>1370</v>
      </c>
      <c r="M60" s="2321"/>
      <c r="N60" s="2322" t="e">
        <f ca="1">NUMBERSTRING(INT(N59*10000),2)&amp;"元整"</f>
        <v>#VALUE!</v>
      </c>
      <c r="O60" s="2323"/>
    </row>
    <row r="61" spans="1:35" ht="13.8" thickBot="1">
      <c r="A61" s="3412" t="s">
        <v>1373</v>
      </c>
      <c r="B61" s="3412"/>
      <c r="C61" s="3412"/>
      <c r="D61" s="3412"/>
      <c r="E61" s="3412"/>
      <c r="F61" s="1670"/>
      <c r="G61" s="1670"/>
      <c r="H61" s="151"/>
      <c r="I61" s="121"/>
      <c r="J61" s="2310">
        <f>J59+1</f>
        <v>7</v>
      </c>
      <c r="K61" s="3464" t="s">
        <v>1374</v>
      </c>
      <c r="L61" s="3464"/>
      <c r="M61" s="2327"/>
      <c r="N61" s="2328" t="e">
        <f ca="1">ROUND(N59*10000/'数据-汇总表'!E3,0)</f>
        <v>#VALUE!</v>
      </c>
      <c r="O61" s="2329"/>
    </row>
    <row r="62" spans="1:35" ht="13.2">
      <c r="A62" s="3430" t="s">
        <v>1375</v>
      </c>
      <c r="B62" s="3431"/>
      <c r="C62" s="1865"/>
      <c r="D62" s="1865" t="s">
        <v>1376</v>
      </c>
      <c r="E62" s="158" t="s">
        <v>1377</v>
      </c>
      <c r="F62" s="1670"/>
      <c r="G62" s="1670"/>
      <c r="H62" s="151"/>
      <c r="I62" s="121"/>
    </row>
    <row r="63" spans="1:35" ht="13.2">
      <c r="A63" s="165" t="s">
        <v>330</v>
      </c>
      <c r="B63" s="159" t="s">
        <v>1378</v>
      </c>
      <c r="C63" s="2350" t="e">
        <f ca="1">ROUND((C64+C65)/(1+'数据-取费表'!C42),0)</f>
        <v>#REF!</v>
      </c>
      <c r="D63" s="159"/>
      <c r="E63" s="160"/>
      <c r="F63" s="1670"/>
      <c r="G63" s="1670"/>
      <c r="H63" s="151"/>
      <c r="I63" s="121"/>
      <c r="J63" s="3489"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489"/>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489"/>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489"/>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489"/>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489"/>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489"/>
      <c r="K69" s="1245" t="s">
        <v>1393</v>
      </c>
      <c r="L69" s="1245"/>
      <c r="M69" s="294" t="e">
        <f ca="1">ROUND(SUM(M63:M68),0)</f>
        <v>#VALUE!</v>
      </c>
      <c r="N69" s="2332" t="e">
        <f ca="1">M69/M49</f>
        <v>#VALUE!</v>
      </c>
      <c r="Z69" s="1623"/>
      <c r="AI69" s="1561"/>
    </row>
    <row r="70" spans="1:35" s="642" customFormat="1" ht="14.4" thickBot="1">
      <c r="A70" s="3451" t="s">
        <v>1394</v>
      </c>
      <c r="B70" s="3452"/>
      <c r="C70" s="3452"/>
      <c r="D70" s="3452"/>
      <c r="E70" s="3452"/>
      <c r="F70" s="3452"/>
      <c r="G70" s="3452"/>
      <c r="H70" s="345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430" t="s">
        <v>1375</v>
      </c>
      <c r="B71" s="343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425" t="s">
        <v>1402</v>
      </c>
      <c r="F76" s="3400"/>
      <c r="G76" s="3400"/>
      <c r="H76" s="345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409" t="s">
        <v>1406</v>
      </c>
      <c r="F78" s="3410"/>
      <c r="G78" s="3410"/>
      <c r="H78" s="341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451" t="s">
        <v>1410</v>
      </c>
      <c r="B83" s="3452"/>
      <c r="C83" s="3452"/>
      <c r="D83" s="3452"/>
      <c r="E83" s="3452"/>
      <c r="F83" s="3452"/>
      <c r="G83" s="3452"/>
      <c r="H83" s="345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430" t="s">
        <v>1375</v>
      </c>
      <c r="B84" s="343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491" t="s">
        <v>2128</v>
      </c>
      <c r="H90" s="3492"/>
      <c r="I90" s="1681"/>
      <c r="J90" s="2308"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409" t="s">
        <v>1419</v>
      </c>
      <c r="F91" s="3410"/>
      <c r="G91" s="341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409" t="s">
        <v>1422</v>
      </c>
      <c r="F92" s="3410"/>
      <c r="G92" s="3410"/>
      <c r="H92" s="3419"/>
      <c r="I92" s="1681"/>
      <c r="J92" s="2309"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409" t="s">
        <v>1406</v>
      </c>
      <c r="F93" s="3410"/>
      <c r="G93" s="3410"/>
      <c r="H93" s="341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420" t="s">
        <v>1426</v>
      </c>
      <c r="F94" s="3421"/>
      <c r="G94" s="3421"/>
      <c r="H94" s="342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3" t="s">
        <v>1428</v>
      </c>
      <c r="B100" s="3254"/>
      <c r="C100" s="3254"/>
      <c r="D100" s="3411"/>
      <c r="E100" s="3254" t="s">
        <v>1429</v>
      </c>
      <c r="F100" s="3254"/>
      <c r="G100" s="3254"/>
      <c r="H100" s="3411"/>
      <c r="I100" s="121"/>
    </row>
    <row r="101" spans="1:35" ht="18.75" customHeight="1">
      <c r="A101" s="3472" t="s">
        <v>1430</v>
      </c>
      <c r="B101" s="3473"/>
      <c r="C101" s="2371">
        <f>C4</f>
        <v>0</v>
      </c>
      <c r="D101" s="2372">
        <f>D4</f>
        <v>0</v>
      </c>
      <c r="E101" s="3486" t="s">
        <v>1431</v>
      </c>
      <c r="F101" s="3443"/>
      <c r="G101" s="1687" t="s">
        <v>1432</v>
      </c>
      <c r="H101" s="2381" t="e">
        <f ca="1">H118</f>
        <v>#REF!</v>
      </c>
      <c r="I101" s="121"/>
    </row>
    <row r="102" spans="1:35" ht="18.75" customHeight="1">
      <c r="A102" s="3445" t="s">
        <v>1433</v>
      </c>
      <c r="B102" s="2370" t="s">
        <v>1432</v>
      </c>
      <c r="C102" s="2371" t="e">
        <f ca="1">IF(D32="楼面单价",ROUND(C19,0),C19)</f>
        <v>#REF!</v>
      </c>
      <c r="D102" s="2372" t="e">
        <f ca="1">IF(D32="楼面单价",ROUND(D19,0),D19)</f>
        <v>#REF!</v>
      </c>
      <c r="E102" s="3486"/>
      <c r="F102" s="3443"/>
      <c r="G102" s="1687" t="s">
        <v>1434</v>
      </c>
      <c r="H102" s="2341" t="e">
        <f ca="1">I118</f>
        <v>#REF!</v>
      </c>
      <c r="I102" s="121"/>
    </row>
    <row r="103" spans="1:35" ht="42.75" customHeight="1">
      <c r="A103" s="3445"/>
      <c r="B103" s="2370" t="s">
        <v>1434</v>
      </c>
      <c r="C103" s="2373" t="e">
        <f ca="1">C20</f>
        <v>#REF!</v>
      </c>
      <c r="D103" s="2374" t="e">
        <f ca="1">D20</f>
        <v>#REF!</v>
      </c>
      <c r="E103" s="3480" t="s">
        <v>1435</v>
      </c>
      <c r="F103" s="3481"/>
      <c r="G103" s="1688" t="s">
        <v>1436</v>
      </c>
      <c r="H103" s="2381">
        <f>IF(D36="正常操作",H104+H105+H106,H105+H106)</f>
        <v>0</v>
      </c>
      <c r="I103" s="121"/>
    </row>
    <row r="104" spans="1:35" ht="18.75" customHeight="1">
      <c r="A104" s="3445"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446"/>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442" t="str">
        <f>IF(项目基本情况!E8="已注销","——","3.房地产抵押价值")</f>
        <v>3.房地产抵押价值</v>
      </c>
      <c r="F107" s="3443"/>
      <c r="G107" s="1687" t="s">
        <v>1432</v>
      </c>
      <c r="H107" s="2381" t="e">
        <f ca="1">IF(E107="——","——",H101-H103)</f>
        <v>#REF!</v>
      </c>
      <c r="I107" s="121"/>
    </row>
    <row r="108" spans="1:35" ht="18.75" customHeight="1">
      <c r="A108" s="121"/>
      <c r="B108" s="121"/>
      <c r="C108" s="121"/>
      <c r="D108" s="121"/>
      <c r="E108" s="3442"/>
      <c r="F108" s="3443"/>
      <c r="G108" s="1687" t="s">
        <v>1434</v>
      </c>
      <c r="H108" s="2341">
        <f ca="1">IF(H107=H101,H102,ROUND(H107*10000/'数据-汇总表'!E3,0))</f>
        <v>0</v>
      </c>
      <c r="I108" s="121"/>
    </row>
    <row r="109" spans="1:35" ht="18.75" customHeight="1">
      <c r="A109" s="121"/>
      <c r="B109" s="121"/>
      <c r="C109" s="121"/>
      <c r="D109" s="121"/>
      <c r="E109" s="3442" t="str">
        <f>IF(项目基本情况!E8="已注销及未注销","4.抵押担保权已注销时的房地产抵押价值",IF(项目基本情况!E8="已注销","3.抵押担保权已注销时的房地产抵押价值","——"))</f>
        <v>——</v>
      </c>
      <c r="F109" s="3443"/>
      <c r="G109" s="1687" t="s">
        <v>1432</v>
      </c>
      <c r="H109" s="2384" t="str">
        <f>IF(E109="——","——",H101-H105-H106)</f>
        <v>——</v>
      </c>
      <c r="I109" s="121"/>
    </row>
    <row r="110" spans="1:35" ht="18.75" customHeight="1">
      <c r="A110" s="121"/>
      <c r="B110" s="121"/>
      <c r="C110" s="121"/>
      <c r="D110" s="121"/>
      <c r="E110" s="3442"/>
      <c r="F110" s="3443"/>
      <c r="G110" s="1687" t="s">
        <v>1434</v>
      </c>
      <c r="H110" s="2341" t="str">
        <f>IF(H109="——","——",ROUND(H109*10000/'数据-汇总表'!E3,0))</f>
        <v>——</v>
      </c>
      <c r="I110" s="121"/>
    </row>
    <row r="111" spans="1:35" ht="18.75" customHeight="1">
      <c r="A111" s="121"/>
      <c r="B111" s="121"/>
      <c r="C111" s="121"/>
      <c r="D111" s="121"/>
      <c r="E111" s="3474" t="str">
        <f>IF(项目基本情况!E9="抵押净值",IF(OR(项目基本情况!E8="已注销",项目基本情况!E8="房地产抵押价值"),"4.抵押净值","5.抵押净值"),"——")</f>
        <v>——</v>
      </c>
      <c r="F111" s="3444"/>
      <c r="G111" s="1687" t="s">
        <v>1432</v>
      </c>
      <c r="H111" s="2381" t="str">
        <f>IF(E111="——","——",N59)</f>
        <v>——</v>
      </c>
      <c r="I111" s="121"/>
    </row>
    <row r="112" spans="1:35" ht="18.75" customHeight="1" thickBot="1">
      <c r="A112" s="121"/>
      <c r="B112" s="121"/>
      <c r="C112" s="121"/>
      <c r="D112" s="121"/>
      <c r="E112" s="3475"/>
      <c r="F112" s="3476"/>
      <c r="G112" s="1690" t="s">
        <v>1434</v>
      </c>
      <c r="H112" s="2385" t="str">
        <f>IF(E111="——","——",N61)</f>
        <v>——</v>
      </c>
      <c r="I112" s="121"/>
    </row>
    <row r="113" spans="1:27" ht="18.75" customHeight="1">
      <c r="A113" s="121"/>
      <c r="B113" s="121"/>
      <c r="C113" s="121"/>
      <c r="D113" s="121"/>
      <c r="E113" s="3447" t="s">
        <v>1440</v>
      </c>
      <c r="F113" s="3447"/>
      <c r="G113" s="3447"/>
      <c r="H113" s="3447"/>
      <c r="I113" s="121"/>
    </row>
    <row r="114" spans="1:27" ht="3.75" customHeight="1">
      <c r="A114" s="646"/>
      <c r="B114" s="646"/>
      <c r="C114" s="646"/>
      <c r="D114" s="646"/>
      <c r="E114" s="1671"/>
      <c r="F114" s="1671"/>
      <c r="G114" s="1671"/>
      <c r="H114" s="1671"/>
      <c r="I114" s="646"/>
    </row>
    <row r="115" spans="1:27" ht="18.75" customHeight="1">
      <c r="A115" s="3457" t="s">
        <v>1442</v>
      </c>
      <c r="B115" s="3458"/>
      <c r="C115" s="3458"/>
      <c r="D115" s="3458"/>
      <c r="E115" s="3458"/>
      <c r="F115" s="3458"/>
      <c r="G115" s="3458"/>
      <c r="H115" s="3458"/>
      <c r="I115" s="3459"/>
    </row>
    <row r="116" spans="1:27" ht="27" customHeight="1">
      <c r="A116" s="3413" t="s">
        <v>1443</v>
      </c>
      <c r="B116" s="3448" t="s">
        <v>1444</v>
      </c>
      <c r="C116" s="3448" t="s">
        <v>1445</v>
      </c>
      <c r="D116" s="3461" t="s">
        <v>1446</v>
      </c>
      <c r="E116" s="3462"/>
      <c r="F116" s="3456" t="s">
        <v>1447</v>
      </c>
      <c r="G116" s="3456"/>
      <c r="H116" s="3413" t="s">
        <v>1448</v>
      </c>
      <c r="I116" s="3413"/>
    </row>
    <row r="117" spans="1:27" ht="18.75" customHeight="1">
      <c r="A117" s="3413"/>
      <c r="B117" s="3449"/>
      <c r="C117" s="3449"/>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0</v>
      </c>
      <c r="C118" s="2150" t="e">
        <f>M19</f>
        <v>#DIV/0!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413" t="s">
        <v>1452</v>
      </c>
      <c r="B119" s="3413"/>
      <c r="C119" s="3413"/>
      <c r="D119" s="3453" t="e">
        <f ca="1">NUMBERSTRING(INT(D118*10000),2)&amp;"元整"</f>
        <v>#REF!</v>
      </c>
      <c r="E119" s="3455"/>
      <c r="F119" s="3453" t="e">
        <f ca="1">NUMBERSTRING(INT(F118*10000),2)&amp;"元整"</f>
        <v>#REF!</v>
      </c>
      <c r="G119" s="3455"/>
      <c r="H119" s="3453" t="e">
        <f ca="1">NUMBERSTRING(INT(H118*10000),2)&amp;"元整"</f>
        <v>#REF!</v>
      </c>
      <c r="I119" s="3455"/>
    </row>
    <row r="120" spans="1:27" ht="18.75" customHeight="1">
      <c r="A120" s="3477" t="str">
        <f>IF(项目基本情况!B9="房地产市场价值","",MID(E103,3,LEN(E103)-2))</f>
        <v>估价师知悉的法定优先受偿款</v>
      </c>
      <c r="B120" s="3478"/>
      <c r="C120" s="3479"/>
      <c r="D120" s="3477">
        <f>H103</f>
        <v>0</v>
      </c>
      <c r="E120" s="3478"/>
      <c r="F120" s="3478"/>
      <c r="G120" s="3478"/>
      <c r="H120" s="3478"/>
      <c r="I120" s="347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453" t="s">
        <v>1452</v>
      </c>
      <c r="B121" s="3454"/>
      <c r="C121" s="3455"/>
      <c r="D121" s="3453" t="str">
        <f>IF(D120=0,"零元整",NUMBERSTRING(INT(D120*10000),2)&amp;"元整")</f>
        <v>零元整</v>
      </c>
      <c r="E121" s="3454"/>
      <c r="F121" s="3454"/>
      <c r="G121" s="3454"/>
      <c r="H121" s="3454"/>
      <c r="I121" s="3455"/>
      <c r="AA121" s="684"/>
    </row>
    <row r="122" spans="1:27" ht="18.75" customHeight="1">
      <c r="A122" s="3444" t="str">
        <f>IF(项目基本情况!B9="房地产市场价值","",MID(E107,3,LEN(E107)-2))</f>
        <v>房地产抵押价值</v>
      </c>
      <c r="B122" s="3444"/>
      <c r="C122" s="3444"/>
      <c r="D122" s="3477" t="e">
        <f ca="1">H107</f>
        <v>#REF!</v>
      </c>
      <c r="E122" s="3478"/>
      <c r="F122" s="3478"/>
      <c r="G122" s="3478"/>
      <c r="H122" s="3478"/>
      <c r="I122" s="3479"/>
      <c r="AA122" s="684"/>
    </row>
    <row r="123" spans="1:27" ht="18.75" customHeight="1">
      <c r="A123" s="3413" t="s">
        <v>1452</v>
      </c>
      <c r="B123" s="3413"/>
      <c r="C123" s="3413"/>
      <c r="D123" s="3453" t="e">
        <f ca="1">NUMBERSTRING(INT(D122*10000),2)&amp;"元整"</f>
        <v>#REF!</v>
      </c>
      <c r="E123" s="3454"/>
      <c r="F123" s="3454"/>
      <c r="G123" s="3454"/>
      <c r="H123" s="3454"/>
      <c r="I123" s="3455"/>
      <c r="AA123" s="684"/>
    </row>
    <row r="124" spans="1:27" ht="18.75" customHeight="1">
      <c r="A124" s="3444" t="str">
        <f>IF(项目基本情况!B9="房地产市场价值","",MID(E109,3,LEN(E109)-2))</f>
        <v/>
      </c>
      <c r="B124" s="3444"/>
      <c r="C124" s="3444"/>
      <c r="D124" s="3477" t="str">
        <f>H109</f>
        <v>——</v>
      </c>
      <c r="E124" s="3478"/>
      <c r="F124" s="3478"/>
      <c r="G124" s="3478"/>
      <c r="H124" s="3478"/>
      <c r="I124" s="3479"/>
      <c r="AA124" s="684"/>
    </row>
    <row r="125" spans="1:27" ht="18.75" customHeight="1">
      <c r="A125" s="3413" t="s">
        <v>1452</v>
      </c>
      <c r="B125" s="3413"/>
      <c r="C125" s="3413"/>
      <c r="D125" s="3453" t="e">
        <f>NUMBERSTRING(INT(D124*10000),2)&amp;"元整"</f>
        <v>#VALUE!</v>
      </c>
      <c r="E125" s="3454"/>
      <c r="F125" s="3454"/>
      <c r="G125" s="3454"/>
      <c r="H125" s="3454"/>
      <c r="I125" s="3455"/>
      <c r="AA125" s="684"/>
    </row>
    <row r="126" spans="1:27" ht="18.75" customHeight="1">
      <c r="A126" s="3444" t="str">
        <f>IF(项目基本情况!B9="房地产市场价值","",MID(E111,3,LEN(E111)-2))</f>
        <v/>
      </c>
      <c r="B126" s="3444"/>
      <c r="C126" s="3444"/>
      <c r="D126" s="3477" t="str">
        <f>H111</f>
        <v>——</v>
      </c>
      <c r="E126" s="3478"/>
      <c r="F126" s="3478"/>
      <c r="G126" s="3478"/>
      <c r="H126" s="3478"/>
      <c r="I126" s="3479"/>
      <c r="AA126" s="684"/>
    </row>
    <row r="127" spans="1:27" ht="18.75" customHeight="1">
      <c r="A127" s="3413" t="s">
        <v>1452</v>
      </c>
      <c r="B127" s="3413"/>
      <c r="C127" s="3413"/>
      <c r="D127" s="3453" t="e">
        <f>NUMBERSTRING(INT(D126*10000),2)&amp;"元整"</f>
        <v>#VALUE!</v>
      </c>
      <c r="E127" s="3454"/>
      <c r="F127" s="3454"/>
      <c r="G127" s="3454"/>
      <c r="H127" s="3454"/>
      <c r="I127" s="3455"/>
      <c r="AA127" s="684"/>
    </row>
    <row r="128" spans="1:27" ht="21.75" customHeight="1">
      <c r="A128" s="3460" t="s">
        <v>1453</v>
      </c>
      <c r="B128" s="3460"/>
      <c r="C128" s="3460"/>
      <c r="D128" s="3460"/>
      <c r="E128" s="3460"/>
      <c r="F128" s="3460"/>
      <c r="G128" s="3460"/>
      <c r="H128" s="3460"/>
      <c r="I128" s="346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conditionalFormatting sqref="C5:D7">
    <cfRule type="cellIs" dxfId="3" priority="10" stopIfTrue="1" operator="equal">
      <formula>25</formula>
    </cfRule>
  </conditionalFormatting>
  <conditionalFormatting sqref="C8:D13">
    <cfRule type="cellIs" dxfId="2" priority="8" stopIfTrue="1" operator="equal">
      <formula>15</formula>
    </cfRule>
  </conditionalFormatting>
  <conditionalFormatting sqref="C14:D16">
    <cfRule type="cellIs" dxfId="1" priority="6" stopIfTrue="1" operator="equal">
      <formula>30</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8">
        <f>基准地价修正!G23</f>
        <v>45845</v>
      </c>
      <c r="B1" s="2930" t="s">
        <v>3377</v>
      </c>
      <c r="C1" s="2931"/>
      <c r="D1" s="2931"/>
      <c r="E1" s="2931"/>
      <c r="F1" s="2931"/>
      <c r="G1" s="2931"/>
      <c r="H1" s="2931"/>
      <c r="I1" s="2931"/>
      <c r="J1" s="2897"/>
      <c r="K1" s="2931" t="s">
        <v>454</v>
      </c>
      <c r="L1" s="2931"/>
      <c r="M1" s="2931"/>
      <c r="N1" s="2931"/>
      <c r="O1" s="2931"/>
      <c r="P1" s="2931"/>
      <c r="Q1" s="2897"/>
      <c r="R1" s="3493" t="s">
        <v>456</v>
      </c>
      <c r="S1" s="3494"/>
      <c r="T1" s="3494"/>
      <c r="U1" s="3494"/>
      <c r="V1" s="3494"/>
      <c r="W1" s="3494"/>
      <c r="X1" s="2897"/>
      <c r="Y1" s="3493" t="s">
        <v>457</v>
      </c>
      <c r="Z1" s="3494"/>
      <c r="AA1" s="3494"/>
      <c r="AB1" s="3494"/>
      <c r="AC1" s="3494"/>
      <c r="AD1" s="3494"/>
    </row>
    <row r="2" spans="1:44" s="2010" customFormat="1" ht="15" thickBot="1">
      <c r="B2" s="2882"/>
      <c r="C2" s="2883"/>
      <c r="D2" s="2011" t="s">
        <v>2809</v>
      </c>
      <c r="E2" s="2012" t="s">
        <v>2810</v>
      </c>
      <c r="F2" s="2012" t="s">
        <v>2811</v>
      </c>
      <c r="G2" s="2012" t="s">
        <v>2812</v>
      </c>
      <c r="H2" s="2012" t="s">
        <v>2813</v>
      </c>
      <c r="I2" s="2012" t="s">
        <v>2630</v>
      </c>
      <c r="J2" s="2884"/>
      <c r="K2" s="2011" t="s">
        <v>2809</v>
      </c>
      <c r="L2" s="2012" t="s">
        <v>2810</v>
      </c>
      <c r="M2" s="2012" t="s">
        <v>2811</v>
      </c>
      <c r="N2" s="2012" t="s">
        <v>2812</v>
      </c>
      <c r="O2" s="2012" t="s">
        <v>2814</v>
      </c>
      <c r="P2" s="2012" t="s">
        <v>2630</v>
      </c>
      <c r="Q2" s="2884"/>
      <c r="R2" s="2011" t="s">
        <v>2809</v>
      </c>
      <c r="S2" s="2012" t="s">
        <v>2810</v>
      </c>
      <c r="T2" s="2012" t="s">
        <v>2811</v>
      </c>
      <c r="U2" s="2012" t="s">
        <v>2815</v>
      </c>
      <c r="V2" s="2012" t="s">
        <v>2816</v>
      </c>
      <c r="W2" s="2012" t="s">
        <v>2630</v>
      </c>
      <c r="X2" s="2884"/>
      <c r="Y2" s="2011" t="s">
        <v>2809</v>
      </c>
      <c r="Z2" s="2012" t="s">
        <v>2810</v>
      </c>
      <c r="AA2" s="2012" t="s">
        <v>2811</v>
      </c>
      <c r="AB2" s="2012" t="s">
        <v>2817</v>
      </c>
      <c r="AC2" s="2012" t="s">
        <v>2816</v>
      </c>
      <c r="AD2" s="2012" t="s">
        <v>2630</v>
      </c>
      <c r="AF2" t="s">
        <v>3404</v>
      </c>
      <c r="AG2" t="s">
        <v>673</v>
      </c>
      <c r="AH2" t="s">
        <v>21</v>
      </c>
      <c r="AI2" t="s">
        <v>3405</v>
      </c>
      <c r="AJ2" t="s">
        <v>3</v>
      </c>
      <c r="AK2" t="s">
        <v>3406</v>
      </c>
      <c r="AM2" t="s">
        <v>3404</v>
      </c>
      <c r="AN2" t="s">
        <v>673</v>
      </c>
      <c r="AO2" t="s">
        <v>21</v>
      </c>
      <c r="AP2" t="s">
        <v>3405</v>
      </c>
      <c r="AQ2" t="s">
        <v>3</v>
      </c>
      <c r="AR2" t="s">
        <v>3406</v>
      </c>
    </row>
    <row r="3" spans="1:44" s="2887" customFormat="1" ht="13.2">
      <c r="A3" s="2885" t="s">
        <v>2818</v>
      </c>
      <c r="B3" s="2886"/>
      <c r="D3" s="2887">
        <f>ROUND(AVERAGEIF(D4:D24,"&lt;&gt;0"),2)</f>
        <v>0.37</v>
      </c>
      <c r="E3" s="2887">
        <f t="shared" ref="E3:H3" si="0">ROUND(AVERAGEIF(E4:E24,"&lt;&gt;0"),2)</f>
        <v>0.16</v>
      </c>
      <c r="F3" s="2887">
        <f t="shared" si="0"/>
        <v>-0.12</v>
      </c>
      <c r="G3" s="2887">
        <f t="shared" si="0"/>
        <v>0.44</v>
      </c>
      <c r="H3" s="2887">
        <f t="shared" si="0"/>
        <v>0.5</v>
      </c>
      <c r="I3" s="2887">
        <f>F3</f>
        <v>-0.12</v>
      </c>
      <c r="J3" s="2888"/>
      <c r="K3" s="2889">
        <f>ROUND(AVERAGEIF(K4:K24,"&lt;&gt;0"),4)</f>
        <v>3.7000000000000002E-3</v>
      </c>
      <c r="L3" s="2890">
        <f t="shared" ref="L3:O3" si="1">ROUND(AVERAGEIF(L4:L24,"&lt;&gt;0"),4)</f>
        <v>1.6000000000000001E-3</v>
      </c>
      <c r="M3" s="2890">
        <f t="shared" si="1"/>
        <v>-1.1999999999999999E-3</v>
      </c>
      <c r="N3" s="2890">
        <f t="shared" si="1"/>
        <v>4.4000000000000003E-3</v>
      </c>
      <c r="O3" s="2890">
        <f t="shared" si="1"/>
        <v>5.0000000000000001E-3</v>
      </c>
      <c r="P3" s="2890">
        <f>M3</f>
        <v>-1.1999999999999999E-3</v>
      </c>
      <c r="Q3" s="2888"/>
      <c r="R3" s="2891">
        <f>ROUND(SUMPRODUCT(PRODUCT(1+K4:K24)),4)</f>
        <v>1.0680000000000001</v>
      </c>
      <c r="S3" s="2892">
        <f t="shared" ref="S3:V3" si="2">ROUND(SUMPRODUCT(PRODUCT(1+L4:L24)),4)</f>
        <v>1.0290999999999999</v>
      </c>
      <c r="T3" s="2892">
        <f t="shared" si="2"/>
        <v>0.97850000000000004</v>
      </c>
      <c r="U3" s="2892">
        <f t="shared" si="2"/>
        <v>1.0807</v>
      </c>
      <c r="V3" s="2892">
        <f t="shared" si="2"/>
        <v>1.093</v>
      </c>
      <c r="W3" s="2891">
        <f>T3</f>
        <v>0.97850000000000004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3.2">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3403</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105.77000000000001</v>
      </c>
      <c r="AG5" s="3154">
        <f t="shared" ref="AG5:AK5" si="18">$AF$24*S5</f>
        <v>102.75000000000001</v>
      </c>
      <c r="AH5" s="3154">
        <f t="shared" si="18"/>
        <v>98.09</v>
      </c>
      <c r="AI5" s="3154">
        <f t="shared" si="18"/>
        <v>106.89</v>
      </c>
      <c r="AJ5" s="3154">
        <f t="shared" si="18"/>
        <v>108.91</v>
      </c>
      <c r="AK5" s="3154">
        <f t="shared" si="18"/>
        <v>98.09</v>
      </c>
      <c r="AM5" s="3160">
        <v>100</v>
      </c>
      <c r="AN5" s="3160">
        <v>100</v>
      </c>
      <c r="AO5" s="3160">
        <v>100</v>
      </c>
      <c r="AP5" s="3160">
        <v>100</v>
      </c>
      <c r="AQ5" s="3160">
        <v>100</v>
      </c>
      <c r="AR5" s="3160">
        <v>100</v>
      </c>
    </row>
    <row r="6" spans="1:44" s="2045" customFormat="1" ht="13.2">
      <c r="A6" s="2040" t="s">
        <v>3402</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105.77000000000001</v>
      </c>
      <c r="AG6" s="3154">
        <f t="shared" ref="AG6:AG23" si="31">$AF$24*S6</f>
        <v>102.75000000000001</v>
      </c>
      <c r="AH6" s="3154">
        <f t="shared" ref="AH6:AH23" si="32">$AF$24*T6</f>
        <v>98.09</v>
      </c>
      <c r="AI6" s="3154">
        <f t="shared" ref="AI6:AI23" si="33">$AF$24*U6</f>
        <v>106.89</v>
      </c>
      <c r="AJ6" s="3154">
        <f t="shared" ref="AJ6:AJ23" si="34">$AF$24*V6</f>
        <v>108.91</v>
      </c>
      <c r="AK6" s="3154">
        <f t="shared" ref="AK6:AK23" si="35">$AF$24*W6</f>
        <v>98.09</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3.2">
      <c r="A7" s="2908" t="s">
        <v>3401</v>
      </c>
      <c r="B7" s="2909">
        <v>2025</v>
      </c>
      <c r="C7" s="2910">
        <v>2</v>
      </c>
      <c r="D7" s="2911">
        <v>0.05</v>
      </c>
      <c r="E7" s="2911">
        <v>-0.62</v>
      </c>
      <c r="F7" s="2911">
        <v>-1.05</v>
      </c>
      <c r="G7" s="2911">
        <v>0.09</v>
      </c>
      <c r="H7" s="2912">
        <v>0.17</v>
      </c>
      <c r="I7" s="2913">
        <f t="shared" ref="I7" si="37">F7</f>
        <v>-1.05</v>
      </c>
      <c r="J7" s="2914"/>
      <c r="K7" s="2915">
        <f t="shared" ref="K7" si="38">D7/100</f>
        <v>5.0000000000000001E-4</v>
      </c>
      <c r="L7" s="2916">
        <f t="shared" ref="L7" si="39">E7/100</f>
        <v>-6.1999999999999998E-3</v>
      </c>
      <c r="M7" s="2916">
        <f t="shared" ref="M7" si="40">F7/100</f>
        <v>-1.0500000000000001E-2</v>
      </c>
      <c r="N7" s="2916">
        <f t="shared" ref="N7" si="41">G7/100</f>
        <v>8.9999999999999998E-4</v>
      </c>
      <c r="O7" s="2916">
        <f t="shared" ref="O7" si="42">H7/100</f>
        <v>1.7000000000000001E-3</v>
      </c>
      <c r="P7" s="2916">
        <f t="shared" si="10"/>
        <v>-1.0500000000000001E-2</v>
      </c>
      <c r="Q7" s="2914"/>
      <c r="R7" s="2914">
        <f>ROUND(IF(项目基本情况!$B$8="出让",SUMPRODUCT(PRODUCT(1+K7:$K$24)),SUMPRODUCT(PRODUCT(1+K7:$K$23))),4)</f>
        <v>1.0577000000000001</v>
      </c>
      <c r="S7" s="2914">
        <f>ROUND(IF(项目基本情况!$B$8="出让",SUMPRODUCT(PRODUCT(1+L7:$L$24)),SUMPRODUCT(PRODUCT(1+L7:$L$23))),4)</f>
        <v>1.0275000000000001</v>
      </c>
      <c r="T7" s="2914">
        <f>ROUND(IF(项目基本情况!$B$8="出让",SUMPRODUCT(PRODUCT(1+M7:$M$24)),SUMPRODUCT(PRODUCT(1+M7:$M$23))),4)</f>
        <v>0.98089999999999999</v>
      </c>
      <c r="U7" s="2914">
        <f>ROUND(IF(项目基本情况!$B$8="出让",SUMPRODUCT(PRODUCT(1+N7:$N$24)),SUMPRODUCT(PRODUCT(1+N7:$N$23))),4)</f>
        <v>1.0689</v>
      </c>
      <c r="V7" s="2914">
        <f>ROUND(IF(项目基本情况!$B$8="出让",SUMPRODUCT(PRODUCT(1+O7:$O$24)),SUMPRODUCT(PRODUCT(1+O7:$O$23))),4)</f>
        <v>1.0891</v>
      </c>
      <c r="W7" s="2914">
        <f t="shared" si="11"/>
        <v>0.98089999999999999</v>
      </c>
      <c r="X7" s="2914"/>
      <c r="Y7" s="2916">
        <f t="shared" si="12"/>
        <v>2.3E-3</v>
      </c>
      <c r="Z7" s="2916">
        <f t="shared" ref="Z7" si="43">IF(E7=0,0,ROUND(AVERAGE(E7:E20)/100,4))</f>
        <v>1E-3</v>
      </c>
      <c r="AA7" s="2916">
        <f t="shared" ref="AA7" si="44">IF(F7=0,0,ROUND(AVERAGE(F7:F20)/100,4))</f>
        <v>-1.9E-3</v>
      </c>
      <c r="AB7" s="2916">
        <f t="shared" ref="AB7" si="45">IF(G7=0,0,ROUND(AVERAGE(G7:G20)/100,4))</f>
        <v>2.8999999999999998E-3</v>
      </c>
      <c r="AC7" s="2916">
        <f t="shared" ref="AC7" si="46">IF(H7=0,0,ROUND(AVERAGE(H7:H20)/100,4))</f>
        <v>4.7000000000000002E-3</v>
      </c>
      <c r="AD7" s="2916">
        <f t="shared" ref="AD7" si="47">AA7</f>
        <v>-1.9E-3</v>
      </c>
      <c r="AF7" s="3155">
        <f t="shared" si="30"/>
        <v>105.77000000000001</v>
      </c>
      <c r="AG7" s="3155">
        <f t="shared" si="31"/>
        <v>102.75000000000001</v>
      </c>
      <c r="AH7" s="3155">
        <f t="shared" si="32"/>
        <v>98.09</v>
      </c>
      <c r="AI7" s="3155">
        <f t="shared" si="33"/>
        <v>106.89</v>
      </c>
      <c r="AJ7" s="3155">
        <f t="shared" si="34"/>
        <v>108.91</v>
      </c>
      <c r="AK7" s="3155">
        <f t="shared" si="35"/>
        <v>98.09</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3.2">
      <c r="A8" s="2040" t="s">
        <v>3409</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99.950024987506254</v>
      </c>
      <c r="AN8" s="3154">
        <f t="shared" si="49"/>
        <v>100.6238679814852</v>
      </c>
      <c r="AO8" s="3154">
        <f t="shared" si="50"/>
        <v>101.06114199090449</v>
      </c>
      <c r="AP8" s="3154">
        <f t="shared" si="51"/>
        <v>99.910080927165566</v>
      </c>
      <c r="AQ8" s="3154">
        <f t="shared" si="52"/>
        <v>99.830288509533787</v>
      </c>
      <c r="AR8" s="3154">
        <f t="shared" si="53"/>
        <v>101.06114199090449</v>
      </c>
    </row>
    <row r="9" spans="1:44" s="2045" customFormat="1" ht="13.2">
      <c r="A9" s="2040" t="s">
        <v>3408</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99.383538816253605</v>
      </c>
      <c r="AN9" s="3154">
        <f t="shared" si="49"/>
        <v>101.20071204011386</v>
      </c>
      <c r="AO9" s="3154">
        <f t="shared" si="50"/>
        <v>101.97895256398031</v>
      </c>
      <c r="AP9" s="3154">
        <f t="shared" si="51"/>
        <v>98.80348192955455</v>
      </c>
      <c r="AQ9" s="3154">
        <f t="shared" si="52"/>
        <v>99.412754938790869</v>
      </c>
      <c r="AR9" s="3154">
        <f t="shared" si="53"/>
        <v>101.97895256398031</v>
      </c>
    </row>
    <row r="10" spans="1:44" s="2045" customFormat="1" ht="13.2">
      <c r="A10" s="2040" t="s">
        <v>3381</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100.40769732900949</v>
      </c>
      <c r="AN10" s="3154">
        <f t="shared" si="49"/>
        <v>101.68881836828162</v>
      </c>
      <c r="AO10" s="3154">
        <f t="shared" si="50"/>
        <v>102.74957437176857</v>
      </c>
      <c r="AP10" s="3154">
        <f t="shared" si="51"/>
        <v>99.851927164784783</v>
      </c>
      <c r="AQ10" s="3154">
        <f t="shared" si="52"/>
        <v>99.333288308144361</v>
      </c>
      <c r="AR10" s="3154">
        <f t="shared" si="53"/>
        <v>102.74957437176857</v>
      </c>
    </row>
    <row r="11" spans="1:44" s="2045" customFormat="1" ht="13.2">
      <c r="A11" s="2906" t="s">
        <v>3375</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101.61693890194262</v>
      </c>
      <c r="AN11" s="3154">
        <f t="shared" si="49"/>
        <v>102.16901272810371</v>
      </c>
      <c r="AO11" s="3154">
        <f t="shared" si="50"/>
        <v>103.04841477461495</v>
      </c>
      <c r="AP11" s="3154">
        <f t="shared" si="51"/>
        <v>100.59634008138704</v>
      </c>
      <c r="AQ11" s="3154">
        <f t="shared" si="52"/>
        <v>99.542327195254401</v>
      </c>
      <c r="AR11" s="3154">
        <f t="shared" si="53"/>
        <v>103.04841477461495</v>
      </c>
    </row>
    <row r="12" spans="1:44" s="2045" customFormat="1" ht="13.2">
      <c r="A12" s="2906" t="s">
        <v>3374</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102.22003712095626</v>
      </c>
      <c r="AN12" s="3154">
        <f t="shared" si="49"/>
        <v>102.38401916835726</v>
      </c>
      <c r="AO12" s="3154">
        <f t="shared" si="50"/>
        <v>104.49038204686165</v>
      </c>
      <c r="AP12" s="3154">
        <f t="shared" si="51"/>
        <v>101.85939659921733</v>
      </c>
      <c r="AQ12" s="3154">
        <f t="shared" si="52"/>
        <v>99.205030092938401</v>
      </c>
      <c r="AR12" s="3154">
        <f t="shared" si="53"/>
        <v>104.49038204686165</v>
      </c>
    </row>
    <row r="13" spans="1:44" s="2045" customFormat="1" ht="13.2">
      <c r="A13" s="2906" t="s">
        <v>3370</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102.13832645978844</v>
      </c>
      <c r="AN13" s="3154">
        <f t="shared" si="49"/>
        <v>101.91520920600962</v>
      </c>
      <c r="AO13" s="3154">
        <f t="shared" si="50"/>
        <v>104.65783458219317</v>
      </c>
      <c r="AP13" s="3154">
        <f t="shared" si="51"/>
        <v>101.5952489519423</v>
      </c>
      <c r="AQ13" s="3154">
        <f t="shared" si="52"/>
        <v>98.623153487362956</v>
      </c>
      <c r="AR13" s="3154">
        <f t="shared" si="53"/>
        <v>104.65783458219317</v>
      </c>
    </row>
    <row r="14" spans="1:44" s="2045" customFormat="1" ht="13.2">
      <c r="A14" s="2906" t="s">
        <v>3369</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101.94463165963514</v>
      </c>
      <c r="AN14" s="3154">
        <f t="shared" si="49"/>
        <v>101.67119833001759</v>
      </c>
      <c r="AO14" s="3154">
        <f t="shared" si="50"/>
        <v>104.8255554709467</v>
      </c>
      <c r="AP14" s="3154">
        <f t="shared" si="51"/>
        <v>101.4228301407031</v>
      </c>
      <c r="AQ14" s="3154">
        <f t="shared" si="52"/>
        <v>98.025199768773433</v>
      </c>
      <c r="AR14" s="3154">
        <f t="shared" si="53"/>
        <v>104.8255554709467</v>
      </c>
    </row>
    <row r="15" spans="1:44" s="2045" customFormat="1" ht="13.2">
      <c r="A15" s="2906" t="s">
        <v>3367</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101.69040564552134</v>
      </c>
      <c r="AN15" s="3154">
        <f t="shared" si="49"/>
        <v>101.16537147265433</v>
      </c>
      <c r="AO15" s="3154">
        <f t="shared" si="50"/>
        <v>104.50160050936765</v>
      </c>
      <c r="AP15" s="3154">
        <f t="shared" si="51"/>
        <v>101.21028853478006</v>
      </c>
      <c r="AQ15" s="3154">
        <f t="shared" si="52"/>
        <v>97.605496135391249</v>
      </c>
      <c r="AR15" s="3154">
        <f t="shared" si="53"/>
        <v>104.50160050936765</v>
      </c>
    </row>
    <row r="16" spans="1:44" s="2045" customFormat="1" ht="13.2">
      <c r="A16" s="2906" t="s">
        <v>3366</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100.77336799675089</v>
      </c>
      <c r="AN16" s="3154">
        <f t="shared" si="49"/>
        <v>100.50205789057652</v>
      </c>
      <c r="AO16" s="3154">
        <f t="shared" si="50"/>
        <v>104.01274062841411</v>
      </c>
      <c r="AP16" s="3154">
        <f t="shared" si="51"/>
        <v>100.24790861210386</v>
      </c>
      <c r="AQ16" s="3154">
        <f t="shared" si="52"/>
        <v>96.917382718092782</v>
      </c>
      <c r="AR16" s="3154">
        <f t="shared" si="53"/>
        <v>104.01274062841411</v>
      </c>
    </row>
    <row r="17" spans="1:44" s="2045" customFormat="1" ht="13.2">
      <c r="A17" s="2906" t="s">
        <v>3365</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99.884396864655471</v>
      </c>
      <c r="AN17" s="3154">
        <f t="shared" si="49"/>
        <v>99.763805728187918</v>
      </c>
      <c r="AO17" s="3154">
        <f t="shared" si="50"/>
        <v>103.42322822751726</v>
      </c>
      <c r="AP17" s="3154">
        <f t="shared" si="51"/>
        <v>99.334035485635994</v>
      </c>
      <c r="AQ17" s="3154">
        <f t="shared" si="52"/>
        <v>96.435206684669438</v>
      </c>
      <c r="AR17" s="3154">
        <f t="shared" si="53"/>
        <v>103.42322822751726</v>
      </c>
    </row>
    <row r="18" spans="1:44" s="2045" customFormat="1" ht="13.2">
      <c r="A18" s="2906" t="s">
        <v>3363</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99.268929501744651</v>
      </c>
      <c r="AN18" s="3154">
        <f t="shared" si="49"/>
        <v>99.564676375437045</v>
      </c>
      <c r="AO18" s="3154">
        <f t="shared" si="50"/>
        <v>103.30958768106807</v>
      </c>
      <c r="AP18" s="3154">
        <f t="shared" si="51"/>
        <v>98.653327525708619</v>
      </c>
      <c r="AQ18" s="3154">
        <f t="shared" si="52"/>
        <v>95.926794672903043</v>
      </c>
      <c r="AR18" s="3154">
        <f t="shared" si="53"/>
        <v>103.30958768106807</v>
      </c>
    </row>
    <row r="19" spans="1:44" s="2045" customFormat="1" ht="13.2">
      <c r="A19" s="2906" t="s">
        <v>3354</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98.618050369307227</v>
      </c>
      <c r="AN19" s="3154">
        <f t="shared" si="49"/>
        <v>99.247085701193214</v>
      </c>
      <c r="AO19" s="3154">
        <f t="shared" si="50"/>
        <v>103.07252088303709</v>
      </c>
      <c r="AP19" s="3154">
        <f t="shared" si="51"/>
        <v>97.948101197089571</v>
      </c>
      <c r="AQ19" s="3154">
        <f t="shared" si="52"/>
        <v>95.326239364904154</v>
      </c>
      <c r="AR19" s="3154">
        <f t="shared" si="53"/>
        <v>103.07252088303709</v>
      </c>
    </row>
    <row r="20" spans="1:44" s="2045" customFormat="1" ht="13.2">
      <c r="A20" s="2906" t="s">
        <v>2819</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97.709353382846743</v>
      </c>
      <c r="AN20" s="3154">
        <f t="shared" si="49"/>
        <v>99.098438044127022</v>
      </c>
      <c r="AO20" s="3154">
        <f t="shared" si="50"/>
        <v>103.06221466157093</v>
      </c>
      <c r="AP20" s="3154">
        <f t="shared" si="51"/>
        <v>96.930332703700714</v>
      </c>
      <c r="AQ20" s="3154">
        <f t="shared" si="52"/>
        <v>94.307716031761146</v>
      </c>
      <c r="AR20" s="3154">
        <f t="shared" si="53"/>
        <v>103.06221466157093</v>
      </c>
    </row>
    <row r="21" spans="1:44" s="2045" customFormat="1" ht="13.2">
      <c r="A21" s="2906" t="s">
        <v>2820</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96.847411421198089</v>
      </c>
      <c r="AN21" s="3154">
        <f t="shared" si="49"/>
        <v>98.664315057872386</v>
      </c>
      <c r="AO21" s="3154">
        <f t="shared" si="50"/>
        <v>102.68229018787579</v>
      </c>
      <c r="AP21" s="3154">
        <f t="shared" si="51"/>
        <v>96.008649666898478</v>
      </c>
      <c r="AQ21" s="3154">
        <f t="shared" si="52"/>
        <v>93.70798492822054</v>
      </c>
      <c r="AR21" s="3154">
        <f t="shared" si="53"/>
        <v>102.68229018787579</v>
      </c>
    </row>
    <row r="22" spans="1:44" s="2045" customFormat="1" ht="13.2">
      <c r="A22" s="2906" t="s">
        <v>2821</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95.860052876569426</v>
      </c>
      <c r="AN22" s="3154">
        <f t="shared" si="49"/>
        <v>98.428087647518353</v>
      </c>
      <c r="AO22" s="3154">
        <f t="shared" si="50"/>
        <v>102.61046286387109</v>
      </c>
      <c r="AP22" s="3154">
        <f t="shared" si="51"/>
        <v>94.898339099435077</v>
      </c>
      <c r="AQ22" s="3154">
        <f t="shared" si="52"/>
        <v>93.195410172273029</v>
      </c>
      <c r="AR22" s="3154">
        <f t="shared" si="53"/>
        <v>102.61046286387109</v>
      </c>
    </row>
    <row r="23" spans="1:44" s="2045" customFormat="1" ht="13.2">
      <c r="A23" s="2906" t="s">
        <v>2822</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95.411618270697161</v>
      </c>
      <c r="AN23" s="3154">
        <f t="shared" si="49"/>
        <v>98.02618030825451</v>
      </c>
      <c r="AO23" s="3154">
        <f t="shared" si="50"/>
        <v>102.36478737417308</v>
      </c>
      <c r="AP23" s="3154">
        <f t="shared" si="51"/>
        <v>94.445003084628866</v>
      </c>
      <c r="AQ23" s="3154">
        <f t="shared" si="52"/>
        <v>92.750209168265357</v>
      </c>
      <c r="AR23" s="3154">
        <f t="shared" si="53"/>
        <v>102.36478737417308</v>
      </c>
    </row>
    <row r="24" spans="1:44" s="2929" customFormat="1" ht="15" thickBot="1">
      <c r="A24" s="2919" t="s">
        <v>2823</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94.541833403386008</v>
      </c>
      <c r="AN24" s="3161">
        <f t="shared" si="49"/>
        <v>97.325437160697476</v>
      </c>
      <c r="AO24" s="3161">
        <f t="shared" si="50"/>
        <v>101.94680547173894</v>
      </c>
      <c r="AP24" s="3161">
        <f t="shared" si="51"/>
        <v>93.556219004090011</v>
      </c>
      <c r="AQ24" s="3161">
        <f t="shared" si="52"/>
        <v>91.82279889938161</v>
      </c>
      <c r="AR24" s="3161">
        <f t="shared" si="53"/>
        <v>101.94680547173894</v>
      </c>
    </row>
    <row r="25" spans="1:44" ht="15" thickTop="1"/>
    <row r="26" spans="1:44">
      <c r="A26" s="3144" t="s">
        <v>3380</v>
      </c>
    </row>
    <row r="27" spans="1:44">
      <c r="I27" s="1405" t="s">
        <v>2824</v>
      </c>
    </row>
    <row r="29" spans="1:44" s="2009" customFormat="1" ht="13.2">
      <c r="B29" s="2930" t="s">
        <v>3378</v>
      </c>
      <c r="C29" s="2931"/>
      <c r="D29" s="2931"/>
      <c r="E29" s="2931"/>
      <c r="F29" s="2931"/>
      <c r="G29" s="2931"/>
      <c r="H29" s="2931"/>
      <c r="I29" s="2931"/>
      <c r="J29" s="2897"/>
      <c r="K29" s="2931" t="s">
        <v>2825</v>
      </c>
      <c r="L29" s="2931"/>
      <c r="M29" s="2931"/>
      <c r="N29" s="2931"/>
      <c r="O29" s="2931"/>
      <c r="P29" s="2931"/>
      <c r="Q29" s="2897"/>
      <c r="R29" s="3493" t="s">
        <v>2826</v>
      </c>
      <c r="S29" s="3494"/>
      <c r="T29" s="3494"/>
      <c r="U29" s="3494"/>
      <c r="V29" s="3494"/>
      <c r="W29" s="3494"/>
      <c r="X29" s="2897"/>
      <c r="Y29" s="3493" t="s">
        <v>2827</v>
      </c>
      <c r="Z29" s="3494"/>
      <c r="AA29" s="3494"/>
      <c r="AB29" s="3494"/>
      <c r="AC29" s="3494"/>
      <c r="AD29" s="3494"/>
    </row>
    <row r="30" spans="1:44" s="2010" customFormat="1" ht="15" thickBot="1">
      <c r="B30" s="2882"/>
      <c r="C30" s="2883"/>
      <c r="D30" s="2011" t="s">
        <v>2828</v>
      </c>
      <c r="E30" s="2012" t="s">
        <v>2829</v>
      </c>
      <c r="F30" s="2012" t="s">
        <v>2830</v>
      </c>
      <c r="G30" s="2012" t="s">
        <v>2831</v>
      </c>
      <c r="H30" s="2012"/>
      <c r="I30" s="2012" t="s">
        <v>2832</v>
      </c>
      <c r="J30" s="2884"/>
      <c r="K30" s="2011" t="s">
        <v>2828</v>
      </c>
      <c r="L30" s="2012" t="s">
        <v>2829</v>
      </c>
      <c r="M30" s="2012" t="s">
        <v>2830</v>
      </c>
      <c r="N30" s="2012" t="s">
        <v>2831</v>
      </c>
      <c r="O30" s="2012"/>
      <c r="P30" s="2012" t="s">
        <v>2832</v>
      </c>
      <c r="Q30" s="2884"/>
      <c r="R30" s="2011" t="s">
        <v>2828</v>
      </c>
      <c r="S30" s="2012" t="s">
        <v>2829</v>
      </c>
      <c r="T30" s="2012" t="s">
        <v>2830</v>
      </c>
      <c r="U30" s="2012" t="s">
        <v>2831</v>
      </c>
      <c r="V30" s="2012"/>
      <c r="W30" s="2012" t="s">
        <v>2832</v>
      </c>
      <c r="X30" s="2884"/>
      <c r="Y30" s="2011" t="s">
        <v>2828</v>
      </c>
      <c r="Z30" s="2012" t="s">
        <v>2829</v>
      </c>
      <c r="AA30" s="2012" t="s">
        <v>2830</v>
      </c>
      <c r="AB30" s="2012" t="s">
        <v>2831</v>
      </c>
      <c r="AC30" s="2012"/>
      <c r="AD30" s="2012" t="s">
        <v>2832</v>
      </c>
      <c r="AG30" t="s">
        <v>673</v>
      </c>
      <c r="AH30" t="s">
        <v>21</v>
      </c>
      <c r="AI30" t="s">
        <v>3405</v>
      </c>
      <c r="AJ30"/>
      <c r="AK30" t="s">
        <v>3406</v>
      </c>
      <c r="AN30" t="s">
        <v>673</v>
      </c>
      <c r="AO30" t="s">
        <v>21</v>
      </c>
      <c r="AP30" t="s">
        <v>3405</v>
      </c>
      <c r="AQ30"/>
      <c r="AR30" t="s">
        <v>3406</v>
      </c>
    </row>
    <row r="31" spans="1:44" s="2887" customFormat="1" ht="13.2">
      <c r="A31" s="2885" t="s">
        <v>2833</v>
      </c>
      <c r="B31" s="2886"/>
      <c r="E31" s="2887">
        <f t="shared" ref="E31:G31" si="115">ROUND(AVERAGEIF(E32:E52,"&lt;&gt;0"),2)</f>
        <v>0.09</v>
      </c>
      <c r="F31" s="2887">
        <f t="shared" si="115"/>
        <v>0.01</v>
      </c>
      <c r="G31" s="2887">
        <f t="shared" si="115"/>
        <v>0.24</v>
      </c>
      <c r="I31" s="2887">
        <f>F31</f>
        <v>0.01</v>
      </c>
      <c r="J31" s="2888"/>
      <c r="K31" s="2889"/>
      <c r="L31" s="2890">
        <f t="shared" ref="L31:N31" si="116">ROUND(AVERAGEIF(L32:L52,"&lt;&gt;0"),4)</f>
        <v>8.9999999999999998E-4</v>
      </c>
      <c r="M31" s="2890">
        <f t="shared" si="116"/>
        <v>1E-4</v>
      </c>
      <c r="N31" s="2890">
        <f t="shared" si="116"/>
        <v>2.3999999999999998E-3</v>
      </c>
      <c r="O31" s="2890"/>
      <c r="P31" s="2890">
        <f>M31</f>
        <v>1E-4</v>
      </c>
      <c r="Q31" s="2888"/>
      <c r="R31" s="2891"/>
      <c r="S31" s="2892">
        <f>ROUND(SUMPRODUCT(PRODUCT(1+L32:L52)),4)</f>
        <v>1.0153000000000001</v>
      </c>
      <c r="T31" s="2892">
        <f t="shared" ref="T31:U31" si="117">ROUND(SUMPRODUCT(PRODUCT(1+M32:M52)),4)</f>
        <v>1.0016</v>
      </c>
      <c r="U31" s="2892">
        <f t="shared" si="117"/>
        <v>1.044</v>
      </c>
      <c r="V31" s="2892"/>
      <c r="W31" s="2891">
        <f>T31</f>
        <v>1.0016</v>
      </c>
      <c r="X31" s="2888"/>
      <c r="Y31" s="2893"/>
      <c r="Z31" s="2894">
        <f t="shared" ref="Z31:AB31" si="118">ROUND(AVERAGEIF(Z32:Z52,"&lt;&gt;0"),4)</f>
        <v>3.3E-3</v>
      </c>
      <c r="AA31" s="2895">
        <f t="shared" si="118"/>
        <v>2.7000000000000001E-3</v>
      </c>
      <c r="AB31" s="2893">
        <f t="shared" si="118"/>
        <v>6.4999999999999997E-3</v>
      </c>
      <c r="AC31" s="2896"/>
      <c r="AD31" s="2893">
        <f>AA31</f>
        <v>2.7000000000000001E-3</v>
      </c>
    </row>
    <row r="32" spans="1:44" s="2009" customFormat="1" ht="13.2">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3403</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101.18</v>
      </c>
      <c r="AH33" s="3154">
        <f t="shared" ref="AH33:AH50" si="130">$AG$52*T33</f>
        <v>99.68</v>
      </c>
      <c r="AI33" s="3154">
        <f t="shared" ref="AI33:AI50" si="131">$AG$52*U33</f>
        <v>103.38000000000001</v>
      </c>
      <c r="AJ33" s="3156"/>
      <c r="AK33" s="3154">
        <f t="shared" ref="AK33:AK50" si="132">$AG$52*W33</f>
        <v>99.68</v>
      </c>
      <c r="AN33" s="3159">
        <v>100</v>
      </c>
      <c r="AO33" s="3159">
        <v>100</v>
      </c>
      <c r="AP33" s="3159">
        <v>100</v>
      </c>
      <c r="AQ33" s="3159"/>
      <c r="AR33" s="3159">
        <v>100</v>
      </c>
    </row>
    <row r="34" spans="1:44" s="2045" customFormat="1" ht="13.2">
      <c r="A34" s="2040" t="s">
        <v>3402</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101.18</v>
      </c>
      <c r="AH34" s="3154">
        <f t="shared" si="130"/>
        <v>99.68</v>
      </c>
      <c r="AI34" s="3154">
        <f t="shared" si="131"/>
        <v>103.38000000000001</v>
      </c>
      <c r="AJ34" s="3156"/>
      <c r="AK34" s="3154">
        <f t="shared" si="132"/>
        <v>99.68</v>
      </c>
      <c r="AN34" s="3154">
        <f>AN33/(1+E33/100)</f>
        <v>100</v>
      </c>
      <c r="AO34" s="3154">
        <f t="shared" ref="AO34:AR34" si="140">AO33/(1+F33/100)</f>
        <v>100</v>
      </c>
      <c r="AP34" s="3154">
        <f t="shared" si="140"/>
        <v>100</v>
      </c>
      <c r="AQ34" s="3154"/>
      <c r="AR34" s="3154">
        <f t="shared" si="140"/>
        <v>100</v>
      </c>
    </row>
    <row r="35" spans="1:44" s="2917" customFormat="1" ht="13.2">
      <c r="A35" s="2908" t="s">
        <v>3410</v>
      </c>
      <c r="B35" s="2909">
        <v>2025</v>
      </c>
      <c r="C35" s="2910">
        <v>2</v>
      </c>
      <c r="D35" s="2911"/>
      <c r="E35" s="2911">
        <v>-0.31</v>
      </c>
      <c r="F35" s="2911">
        <v>-1.03</v>
      </c>
      <c r="G35" s="2911">
        <v>0.03</v>
      </c>
      <c r="H35" s="2912"/>
      <c r="I35" s="2913">
        <f t="shared" ref="I35" si="141">F35</f>
        <v>-1.03</v>
      </c>
      <c r="J35" s="2914"/>
      <c r="K35" s="2915"/>
      <c r="L35" s="2916">
        <f t="shared" ref="L35" si="142">E35/100</f>
        <v>-3.0999999999999999E-3</v>
      </c>
      <c r="M35" s="2916">
        <f t="shared" ref="M35" si="143">F35/100</f>
        <v>-1.03E-2</v>
      </c>
      <c r="N35" s="2916">
        <f t="shared" ref="N35" si="144">G35/100</f>
        <v>2.9999999999999997E-4</v>
      </c>
      <c r="O35" s="2916"/>
      <c r="P35" s="2916">
        <f t="shared" si="123"/>
        <v>-1.03E-2</v>
      </c>
      <c r="Q35" s="2914"/>
      <c r="R35" s="2914"/>
      <c r="S35" s="2914">
        <f>ROUND(IF(项目基本情况!$B$8="出让",SUMPRODUCT(PRODUCT(1+L35:L$52)),SUMPRODUCT(PRODUCT(1+L35:L$51))),4)</f>
        <v>1.0118</v>
      </c>
      <c r="T35" s="2914">
        <f>ROUND(IF(项目基本情况!$B$8="出让",SUMPRODUCT(PRODUCT(1+M35:M$52)),SUMPRODUCT(PRODUCT(1+M35:M$51))),4)</f>
        <v>0.99680000000000002</v>
      </c>
      <c r="U35" s="2914">
        <f>ROUND(IF(项目基本情况!$B$8="出让",SUMPRODUCT(PRODUCT(1+N35:N$52)),SUMPRODUCT(PRODUCT(1+N35:N$51))),4)</f>
        <v>1.0338000000000001</v>
      </c>
      <c r="V35" s="2914"/>
      <c r="W35" s="2914">
        <f t="shared" si="124"/>
        <v>0.99680000000000002</v>
      </c>
      <c r="X35" s="2914"/>
      <c r="Y35" s="2916"/>
      <c r="Z35" s="2932">
        <f t="shared" ref="Z35" si="145">IF(E35=0,0,ROUND(AVERAGE(E35:E48)/100,4))</f>
        <v>-2.9999999999999997E-4</v>
      </c>
      <c r="AA35" s="2933">
        <f t="shared" ref="AA35" si="146">IF(F35=0,0,ROUND(AVERAGE(F35:F48)/100,4))</f>
        <v>-8.0000000000000004E-4</v>
      </c>
      <c r="AB35" s="2916">
        <f t="shared" ref="AB35" si="147">IF(G35=0,0,ROUND(AVERAGE(G35:G48)/100,4))</f>
        <v>5.0000000000000001E-4</v>
      </c>
      <c r="AC35" s="2934"/>
      <c r="AD35" s="2916">
        <f t="shared" si="128"/>
        <v>-8.0000000000000004E-4</v>
      </c>
      <c r="AG35" s="3155">
        <f t="shared" si="129"/>
        <v>101.18</v>
      </c>
      <c r="AH35" s="3155">
        <f t="shared" si="130"/>
        <v>99.68</v>
      </c>
      <c r="AI35" s="3155">
        <f t="shared" si="131"/>
        <v>103.38000000000001</v>
      </c>
      <c r="AJ35" s="3157"/>
      <c r="AK35" s="3155">
        <f t="shared" si="132"/>
        <v>99.68</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3.2">
      <c r="A36" s="2040" t="s">
        <v>3407</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100.31096398836392</v>
      </c>
      <c r="AO36" s="3154">
        <f t="shared" ref="AO36:AO52" si="159">AO35/(1+F35/100)</f>
        <v>101.04071940992219</v>
      </c>
      <c r="AP36" s="3154">
        <f t="shared" ref="AP36:AP52" si="160">AP35/(1+G35/100)</f>
        <v>99.970008997300809</v>
      </c>
      <c r="AQ36" s="3154"/>
      <c r="AR36" s="3154">
        <f t="shared" ref="AR36:AR52" si="161">AR35/(1+I35/100)</f>
        <v>101.04071940992219</v>
      </c>
    </row>
    <row r="37" spans="1:44" s="2045" customFormat="1" ht="13.2">
      <c r="A37" s="2040" t="s">
        <v>3408</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101.80753474917682</v>
      </c>
      <c r="AO37" s="3154">
        <f t="shared" si="159"/>
        <v>102.04071845073943</v>
      </c>
      <c r="AP37" s="3154">
        <f t="shared" si="160"/>
        <v>100.48246959222114</v>
      </c>
      <c r="AQ37" s="3154"/>
      <c r="AR37" s="3154">
        <f t="shared" si="161"/>
        <v>102.04071845073943</v>
      </c>
    </row>
    <row r="38" spans="1:44" s="2045" customFormat="1" ht="13.2">
      <c r="A38" s="2040" t="s">
        <v>3372</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102.4323722197171</v>
      </c>
      <c r="AO38" s="3154">
        <f t="shared" si="159"/>
        <v>102.7703882070092</v>
      </c>
      <c r="AP38" s="3154">
        <f t="shared" si="160"/>
        <v>101.37456577100599</v>
      </c>
      <c r="AQ38" s="3154"/>
      <c r="AR38" s="3154">
        <f t="shared" si="161"/>
        <v>102.7703882070092</v>
      </c>
    </row>
    <row r="39" spans="1:44" s="2045" customFormat="1" ht="13.2">
      <c r="A39" s="2906" t="s">
        <v>3376</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103.11291747505244</v>
      </c>
      <c r="AO39" s="3154">
        <f t="shared" si="159"/>
        <v>103.30758766285605</v>
      </c>
      <c r="AP39" s="3154">
        <f t="shared" si="160"/>
        <v>104.36998432101923</v>
      </c>
      <c r="AQ39" s="3154"/>
      <c r="AR39" s="3154">
        <f t="shared" si="161"/>
        <v>103.30758766285605</v>
      </c>
    </row>
    <row r="40" spans="1:44" s="2045" customFormat="1" ht="13.2">
      <c r="A40" s="2906" t="s">
        <v>3373</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103.43356151575126</v>
      </c>
      <c r="AO40" s="3154">
        <f t="shared" si="159"/>
        <v>103.7120647152455</v>
      </c>
      <c r="AP40" s="3154">
        <f t="shared" si="160"/>
        <v>103.10183179000221</v>
      </c>
      <c r="AQ40" s="3154"/>
      <c r="AR40" s="3154">
        <f t="shared" si="161"/>
        <v>103.7120647152455</v>
      </c>
    </row>
    <row r="41" spans="1:44" s="2045" customFormat="1" ht="13.2">
      <c r="A41" s="2906" t="s">
        <v>3371</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103.17562245960227</v>
      </c>
      <c r="AO41" s="3154">
        <f t="shared" si="159"/>
        <v>103.29886923829234</v>
      </c>
      <c r="AP41" s="3154">
        <f t="shared" si="160"/>
        <v>103.75549138573231</v>
      </c>
      <c r="AQ41" s="3154"/>
      <c r="AR41" s="3154">
        <f t="shared" si="161"/>
        <v>103.29886923829234</v>
      </c>
    </row>
    <row r="42" spans="1:44" s="2045" customFormat="1" ht="13.2">
      <c r="A42" s="2906" t="s">
        <v>3369</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103.10345004457108</v>
      </c>
      <c r="AO42" s="3154">
        <f t="shared" si="159"/>
        <v>103.20598385282482</v>
      </c>
      <c r="AP42" s="3154">
        <f t="shared" si="160"/>
        <v>103.72437407351026</v>
      </c>
      <c r="AQ42" s="3154"/>
      <c r="AR42" s="3154">
        <f t="shared" si="161"/>
        <v>103.20598385282482</v>
      </c>
    </row>
    <row r="43" spans="1:44" s="2045" customFormat="1" ht="13.2">
      <c r="A43" s="2906" t="s">
        <v>3368</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102.74384658153569</v>
      </c>
      <c r="AO43" s="3154">
        <f t="shared" si="159"/>
        <v>103.03083143937786</v>
      </c>
      <c r="AP43" s="3154">
        <f t="shared" si="160"/>
        <v>103.18779752637312</v>
      </c>
      <c r="AQ43" s="3154"/>
      <c r="AR43" s="3154">
        <f t="shared" si="161"/>
        <v>103.03083143937786</v>
      </c>
    </row>
    <row r="44" spans="1:44" s="2045" customFormat="1" ht="13.2">
      <c r="A44" s="2906" t="s">
        <v>3366</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102.23268316570717</v>
      </c>
      <c r="AO44" s="3154">
        <f t="shared" si="159"/>
        <v>102.56926972561261</v>
      </c>
      <c r="AP44" s="3154">
        <f t="shared" si="160"/>
        <v>102.27752753134416</v>
      </c>
      <c r="AQ44" s="3154"/>
      <c r="AR44" s="3154">
        <f t="shared" si="161"/>
        <v>102.56926972561261</v>
      </c>
    </row>
    <row r="45" spans="1:44" s="2045" customFormat="1" ht="13.2">
      <c r="A45" s="2906" t="s">
        <v>3365</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101.67347903103646</v>
      </c>
      <c r="AO45" s="3154">
        <f t="shared" si="159"/>
        <v>101.96766052849449</v>
      </c>
      <c r="AP45" s="3154">
        <f t="shared" si="160"/>
        <v>101.62711400173308</v>
      </c>
      <c r="AQ45" s="3154"/>
      <c r="AR45" s="3154">
        <f t="shared" si="161"/>
        <v>101.96766052849449</v>
      </c>
    </row>
    <row r="46" spans="1:44" s="2045" customFormat="1" ht="13.2">
      <c r="A46" s="2906" t="s">
        <v>3364</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101.21799803985711</v>
      </c>
      <c r="AO46" s="3154">
        <f t="shared" si="159"/>
        <v>101.76413226396656</v>
      </c>
      <c r="AP46" s="3154">
        <f t="shared" si="160"/>
        <v>101.24239290868009</v>
      </c>
      <c r="AQ46" s="3154"/>
      <c r="AR46" s="3154">
        <f t="shared" si="161"/>
        <v>101.76413226396656</v>
      </c>
    </row>
    <row r="47" spans="1:44" s="2045" customFormat="1" ht="13.2">
      <c r="A47" s="2906" t="s">
        <v>3354</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100.9152522830081</v>
      </c>
      <c r="AO47" s="3154">
        <f t="shared" si="159"/>
        <v>101.46986964200475</v>
      </c>
      <c r="AP47" s="3154">
        <f t="shared" si="160"/>
        <v>100.40899822342566</v>
      </c>
      <c r="AQ47" s="3154"/>
      <c r="AR47" s="3154">
        <f t="shared" si="161"/>
        <v>101.46986964200475</v>
      </c>
    </row>
    <row r="48" spans="1:44" s="2045" customFormat="1" ht="13.2">
      <c r="A48" s="2906" t="s">
        <v>2834</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101.02638130244078</v>
      </c>
      <c r="AO48" s="3154">
        <f t="shared" si="159"/>
        <v>101.60195217983853</v>
      </c>
      <c r="AP48" s="3154">
        <f t="shared" si="160"/>
        <v>99.879636151820989</v>
      </c>
      <c r="AQ48" s="3154"/>
      <c r="AR48" s="3154">
        <f t="shared" si="161"/>
        <v>101.60195217983853</v>
      </c>
    </row>
    <row r="49" spans="1:44" s="2045" customFormat="1" ht="13.2">
      <c r="A49" s="2906" t="s">
        <v>2835</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100.42383827280396</v>
      </c>
      <c r="AO49" s="3154">
        <f t="shared" si="159"/>
        <v>101.14679161755951</v>
      </c>
      <c r="AP49" s="3154">
        <f t="shared" si="160"/>
        <v>99.353064907809596</v>
      </c>
      <c r="AQ49" s="3154"/>
      <c r="AR49" s="3154">
        <f t="shared" si="161"/>
        <v>101.14679161755951</v>
      </c>
    </row>
    <row r="50" spans="1:44" s="2045" customFormat="1" ht="13.2">
      <c r="A50" s="2906" t="s">
        <v>2836</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99.844738787834515</v>
      </c>
      <c r="AO50" s="3154">
        <f t="shared" si="159"/>
        <v>101.06593886646635</v>
      </c>
      <c r="AP50" s="3154">
        <f t="shared" si="160"/>
        <v>98.682027123370688</v>
      </c>
      <c r="AQ50" s="3154"/>
      <c r="AR50" s="3154">
        <f t="shared" si="161"/>
        <v>101.06593886646635</v>
      </c>
    </row>
    <row r="51" spans="1:44" s="2045" customFormat="1" ht="13.2">
      <c r="A51" s="2906" t="s">
        <v>2837</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99.377663768124336</v>
      </c>
      <c r="AO51" s="3154">
        <f t="shared" si="159"/>
        <v>100.78374438219622</v>
      </c>
      <c r="AP51" s="3154">
        <f t="shared" si="160"/>
        <v>97.7921188419093</v>
      </c>
      <c r="AQ51" s="3154"/>
      <c r="AR51" s="3154">
        <f t="shared" si="161"/>
        <v>100.78374438219622</v>
      </c>
    </row>
    <row r="52" spans="1:44" s="2929" customFormat="1" ht="15" thickBot="1">
      <c r="A52" s="2919" t="s">
        <v>2823</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98.83407634820918</v>
      </c>
      <c r="AO52" s="3161">
        <f t="shared" si="159"/>
        <v>100.32226197710156</v>
      </c>
      <c r="AP52" s="3161">
        <f t="shared" si="160"/>
        <v>96.728109635914251</v>
      </c>
      <c r="AQ52" s="3161"/>
      <c r="AR52" s="3161">
        <f t="shared" si="161"/>
        <v>100.32226197710156</v>
      </c>
    </row>
    <row r="53" spans="1:44" ht="15" thickTop="1"/>
    <row r="54" spans="1:44">
      <c r="A54" s="3144" t="s">
        <v>3379</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8" t="s">
        <v>452</v>
      </c>
      <c r="C1" s="3498"/>
      <c r="D1" s="3498"/>
      <c r="E1" s="3498"/>
      <c r="F1" s="3498"/>
      <c r="G1" s="3494" t="s">
        <v>453</v>
      </c>
      <c r="H1" s="3494"/>
      <c r="I1" s="3494"/>
      <c r="J1" s="3494"/>
      <c r="K1" s="3494"/>
      <c r="L1" s="3494"/>
      <c r="N1" s="3494" t="s">
        <v>454</v>
      </c>
      <c r="O1" s="3494"/>
      <c r="P1" s="3494"/>
      <c r="Q1" s="3494"/>
      <c r="S1" s="3494" t="s">
        <v>455</v>
      </c>
      <c r="T1" s="3494"/>
      <c r="U1" s="3494"/>
      <c r="V1" s="3494"/>
      <c r="X1" s="3493" t="s">
        <v>456</v>
      </c>
      <c r="Y1" s="3494"/>
      <c r="Z1" s="3494"/>
      <c r="AA1" s="3494"/>
      <c r="AB1" s="3494"/>
      <c r="AD1" s="3493" t="s">
        <v>457</v>
      </c>
      <c r="AE1" s="3494"/>
      <c r="AF1" s="3494"/>
      <c r="AG1" s="3494"/>
      <c r="AH1" s="3494"/>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49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6">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7">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6">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7">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3" customWidth="1"/>
    <col min="2" max="2" width="18.6640625" style="2783" customWidth="1"/>
    <col min="3" max="6" width="10.21875" style="2783" customWidth="1"/>
    <col min="7" max="7" width="10.44140625" style="2783" bestFit="1" customWidth="1"/>
    <col min="8" max="8" width="8.88671875" style="2782"/>
    <col min="9" max="9" width="13.33203125" style="2782" customWidth="1"/>
    <col min="10" max="13" width="13.33203125" style="2783" customWidth="1"/>
    <col min="14" max="14" width="18.21875" style="2783" customWidth="1"/>
    <col min="15" max="17" width="15.109375" style="2783" customWidth="1"/>
    <col min="18" max="20" width="11.44140625" style="2783" customWidth="1"/>
    <col min="21" max="16384" width="8.88671875" style="2783"/>
  </cols>
  <sheetData>
    <row r="1" spans="1:20" ht="11.4" thickBot="1">
      <c r="A1" s="3506" t="s">
        <v>2838</v>
      </c>
      <c r="B1" s="3506"/>
      <c r="C1" s="3506"/>
      <c r="D1" s="3506"/>
      <c r="E1" s="3506"/>
      <c r="F1" s="3506"/>
      <c r="G1" s="3507"/>
      <c r="I1" s="2939" t="s">
        <v>2839</v>
      </c>
      <c r="J1" s="2940" t="s">
        <v>2840</v>
      </c>
      <c r="K1" s="2940" t="s">
        <v>2841</v>
      </c>
      <c r="L1" s="2940" t="s">
        <v>2842</v>
      </c>
      <c r="M1" s="2940" t="s">
        <v>2843</v>
      </c>
      <c r="N1" s="2940" t="s">
        <v>2844</v>
      </c>
      <c r="O1" s="2940" t="s">
        <v>2845</v>
      </c>
      <c r="P1" s="2940" t="s">
        <v>2846</v>
      </c>
      <c r="Q1" s="2940" t="s">
        <v>2847</v>
      </c>
      <c r="R1" s="2940" t="s">
        <v>2848</v>
      </c>
      <c r="S1" s="2940" t="s">
        <v>2849</v>
      </c>
      <c r="T1" s="2941" t="s">
        <v>2850</v>
      </c>
    </row>
    <row r="2" spans="1:20" ht="11.4" thickBot="1">
      <c r="A2" s="2942" t="s">
        <v>2851</v>
      </c>
      <c r="B2" s="2942"/>
      <c r="C2" s="2942"/>
      <c r="D2" s="2942"/>
      <c r="E2" s="2942"/>
      <c r="F2" s="2942"/>
      <c r="G2" s="2943" t="s">
        <v>2852</v>
      </c>
      <c r="I2" s="2944" t="s">
        <v>2853</v>
      </c>
      <c r="J2" s="2944" t="s">
        <v>2854</v>
      </c>
      <c r="K2" s="2944" t="s">
        <v>2855</v>
      </c>
      <c r="L2" s="2944" t="s">
        <v>2856</v>
      </c>
      <c r="M2" s="2944" t="s">
        <v>2857</v>
      </c>
      <c r="N2" s="2944" t="s">
        <v>2858</v>
      </c>
      <c r="O2" s="2944" t="s">
        <v>2859</v>
      </c>
      <c r="P2" s="2944" t="s">
        <v>2860</v>
      </c>
      <c r="Q2" s="2944" t="s">
        <v>2861</v>
      </c>
      <c r="R2" s="2944" t="s">
        <v>2862</v>
      </c>
      <c r="S2" s="2944" t="s">
        <v>2863</v>
      </c>
      <c r="T2" s="2944" t="s">
        <v>2864</v>
      </c>
    </row>
    <row r="3" spans="1:20" s="2950" customFormat="1">
      <c r="A3" s="3504" t="s">
        <v>2865</v>
      </c>
      <c r="B3" s="2945"/>
      <c r="C3" s="2946" t="s">
        <v>2810</v>
      </c>
      <c r="D3" s="2946" t="s">
        <v>2866</v>
      </c>
      <c r="E3" s="2946" t="s">
        <v>2812</v>
      </c>
      <c r="F3" s="2946" t="s">
        <v>2867</v>
      </c>
      <c r="G3" s="2946" t="s">
        <v>2630</v>
      </c>
      <c r="H3" s="2947"/>
      <c r="I3" s="2948" t="s">
        <v>2868</v>
      </c>
      <c r="J3" s="2949" t="s">
        <v>128</v>
      </c>
      <c r="K3" s="2949" t="s">
        <v>129</v>
      </c>
      <c r="L3" s="2948" t="s">
        <v>130</v>
      </c>
      <c r="M3" s="2948" t="s">
        <v>131</v>
      </c>
      <c r="N3" s="2948" t="s">
        <v>132</v>
      </c>
      <c r="O3" s="2948" t="s">
        <v>133</v>
      </c>
      <c r="P3" s="2948" t="s">
        <v>134</v>
      </c>
      <c r="Q3" s="2948" t="s">
        <v>135</v>
      </c>
      <c r="R3" s="2948" t="s">
        <v>136</v>
      </c>
      <c r="S3" s="2948" t="s">
        <v>2869</v>
      </c>
      <c r="T3" s="2948" t="s">
        <v>2870</v>
      </c>
    </row>
    <row r="4" spans="1:20" s="2950" customFormat="1" ht="11.4" thickBot="1">
      <c r="A4" s="3505"/>
      <c r="B4" s="2951" t="s">
        <v>2871</v>
      </c>
      <c r="C4" s="2951" t="s">
        <v>2872</v>
      </c>
      <c r="D4" s="2951" t="s">
        <v>2872</v>
      </c>
      <c r="E4" s="2951" t="s">
        <v>2872</v>
      </c>
      <c r="F4" s="2952" t="s">
        <v>2872</v>
      </c>
      <c r="G4" s="2952" t="s">
        <v>2872</v>
      </c>
      <c r="H4" s="2947"/>
      <c r="I4" s="2949" t="s">
        <v>137</v>
      </c>
      <c r="J4" s="2949" t="s">
        <v>111</v>
      </c>
      <c r="K4" s="2949" t="s">
        <v>138</v>
      </c>
      <c r="L4" s="2948" t="s">
        <v>139</v>
      </c>
      <c r="M4" s="2948" t="s">
        <v>140</v>
      </c>
      <c r="N4" s="2948" t="s">
        <v>141</v>
      </c>
      <c r="O4" s="2948" t="s">
        <v>142</v>
      </c>
      <c r="P4" s="2948" t="s">
        <v>143</v>
      </c>
      <c r="Q4" s="2948" t="s">
        <v>2873</v>
      </c>
      <c r="R4" s="2948" t="s">
        <v>2874</v>
      </c>
      <c r="S4" s="2948" t="s">
        <v>2875</v>
      </c>
      <c r="T4" s="2948" t="s">
        <v>2876</v>
      </c>
    </row>
    <row r="5" spans="1:20">
      <c r="A5" s="2953" t="s">
        <v>2839</v>
      </c>
      <c r="B5" s="2944" t="s">
        <v>2853</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2877</v>
      </c>
      <c r="R5" s="2948" t="s">
        <v>2878</v>
      </c>
      <c r="S5" s="2948" t="s">
        <v>153</v>
      </c>
      <c r="T5" s="2948" t="s">
        <v>2879</v>
      </c>
    </row>
    <row r="6" spans="1:20" ht="11.4" thickBot="1">
      <c r="A6" s="2948" t="s">
        <v>144</v>
      </c>
      <c r="B6" s="2948" t="s">
        <v>2868</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2880</v>
      </c>
      <c r="Q6" s="2948" t="s">
        <v>2881</v>
      </c>
      <c r="R6" s="2948" t="s">
        <v>161</v>
      </c>
      <c r="S6" s="2948" t="s">
        <v>2882</v>
      </c>
      <c r="T6" s="2948" t="s">
        <v>2883</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2884</v>
      </c>
      <c r="Q7" s="2948" t="s">
        <v>2885</v>
      </c>
      <c r="R7" s="2948" t="s">
        <v>2886</v>
      </c>
      <c r="S7" s="2948" t="s">
        <v>2887</v>
      </c>
      <c r="T7" s="2948" t="s">
        <v>2888</v>
      </c>
    </row>
    <row r="8" spans="1:20" ht="11.4"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2889</v>
      </c>
      <c r="Q8" s="2948" t="s">
        <v>174</v>
      </c>
      <c r="R8" s="2948" t="s">
        <v>2890</v>
      </c>
      <c r="S8" s="2948" t="s">
        <v>2891</v>
      </c>
      <c r="T8" s="2955" t="s">
        <v>2892</v>
      </c>
    </row>
    <row r="9" spans="1:20" ht="11.4"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2893</v>
      </c>
      <c r="Q9" s="2948" t="s">
        <v>182</v>
      </c>
      <c r="R9" s="2948" t="s">
        <v>183</v>
      </c>
      <c r="S9" s="2948" t="s">
        <v>200</v>
      </c>
    </row>
    <row r="10" spans="1:20">
      <c r="A10" s="2953" t="s">
        <v>184</v>
      </c>
      <c r="B10" s="2944" t="s">
        <v>2854</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2894</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2895</v>
      </c>
      <c r="P11" s="2948" t="s">
        <v>191</v>
      </c>
      <c r="Q11" s="2948" t="s">
        <v>199</v>
      </c>
      <c r="R11" s="2948" t="s">
        <v>2896</v>
      </c>
      <c r="S11" s="2948" t="s">
        <v>2897</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2898</v>
      </c>
      <c r="P12" s="2948" t="s">
        <v>2899</v>
      </c>
      <c r="Q12" s="2948" t="s">
        <v>2900</v>
      </c>
      <c r="R12" s="2948" t="s">
        <v>2901</v>
      </c>
      <c r="S12" s="2948" t="s">
        <v>2902</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2903</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2904</v>
      </c>
      <c r="K14" s="2949" t="s">
        <v>215</v>
      </c>
      <c r="L14" s="2948" t="s">
        <v>216</v>
      </c>
      <c r="M14" s="2948" t="s">
        <v>217</v>
      </c>
      <c r="N14" s="2948" t="s">
        <v>218</v>
      </c>
      <c r="O14" s="2948" t="s">
        <v>240</v>
      </c>
      <c r="P14" s="2948" t="s">
        <v>213</v>
      </c>
      <c r="Q14" s="2948" t="s">
        <v>2905</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2906</v>
      </c>
      <c r="P15" s="2948" t="s">
        <v>2907</v>
      </c>
      <c r="Q15" s="2948" t="s">
        <v>242</v>
      </c>
      <c r="R15" s="2948" t="s">
        <v>2908</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2909</v>
      </c>
      <c r="P16" s="2948" t="s">
        <v>227</v>
      </c>
      <c r="Q16" s="2948" t="s">
        <v>250</v>
      </c>
      <c r="R16" s="2948" t="s">
        <v>207</v>
      </c>
      <c r="S16" s="2948" t="s">
        <v>2910</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2911</v>
      </c>
      <c r="P17" s="2948" t="s">
        <v>2912</v>
      </c>
      <c r="Q17" s="2948" t="s">
        <v>256</v>
      </c>
      <c r="R17" s="2948" t="s">
        <v>2913</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2914</v>
      </c>
      <c r="P18" s="2948" t="s">
        <v>241</v>
      </c>
      <c r="Q18" s="2948" t="s">
        <v>2915</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2916</v>
      </c>
      <c r="P19" s="2948" t="s">
        <v>249</v>
      </c>
      <c r="Q19" s="2948" t="s">
        <v>2917</v>
      </c>
      <c r="R19" s="2948" t="s">
        <v>265</v>
      </c>
      <c r="S19" s="2948" t="s">
        <v>2918</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2919</v>
      </c>
      <c r="P20" s="2948" t="s">
        <v>2920</v>
      </c>
      <c r="Q20" s="2948" t="s">
        <v>290</v>
      </c>
      <c r="R20" s="2948" t="s">
        <v>2921</v>
      </c>
      <c r="S20" s="2948" t="s">
        <v>277</v>
      </c>
    </row>
    <row r="21" spans="1:19" ht="14.25" customHeight="1" thickBot="1">
      <c r="A21" s="2948" t="s">
        <v>184</v>
      </c>
      <c r="B21" s="2949" t="s">
        <v>208</v>
      </c>
      <c r="C21" s="2948">
        <v>32370</v>
      </c>
      <c r="D21" s="2948">
        <v>26730</v>
      </c>
      <c r="E21" s="2948">
        <v>26640</v>
      </c>
      <c r="F21" s="2948"/>
      <c r="G21" s="2948">
        <v>19440</v>
      </c>
      <c r="J21" s="2955" t="s">
        <v>2922</v>
      </c>
      <c r="K21" s="2949" t="s">
        <v>267</v>
      </c>
      <c r="L21" s="2948" t="s">
        <v>268</v>
      </c>
      <c r="M21" s="2948" t="s">
        <v>269</v>
      </c>
      <c r="N21" s="2948" t="s">
        <v>270</v>
      </c>
      <c r="O21" s="2948" t="s">
        <v>264</v>
      </c>
      <c r="P21" s="2948" t="s">
        <v>283</v>
      </c>
      <c r="Q21" s="2948" t="s">
        <v>293</v>
      </c>
      <c r="R21" s="2948" t="s">
        <v>2923</v>
      </c>
      <c r="S21" s="2955" t="s">
        <v>2924</v>
      </c>
    </row>
    <row r="22" spans="1:19" ht="14.25" customHeight="1">
      <c r="A22" s="2948" t="s">
        <v>184</v>
      </c>
      <c r="B22" s="2949" t="s">
        <v>2904</v>
      </c>
      <c r="C22" s="2948">
        <v>29830</v>
      </c>
      <c r="D22" s="2948">
        <v>27600</v>
      </c>
      <c r="E22" s="2948">
        <v>28150</v>
      </c>
      <c r="F22" s="2948"/>
      <c r="G22" s="2948">
        <v>20080</v>
      </c>
      <c r="K22" s="2949" t="s">
        <v>2925</v>
      </c>
      <c r="L22" s="2948" t="s">
        <v>272</v>
      </c>
      <c r="M22" s="2948" t="s">
        <v>273</v>
      </c>
      <c r="N22" s="2948" t="s">
        <v>274</v>
      </c>
      <c r="O22" s="2948" t="s">
        <v>2926</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2927</v>
      </c>
      <c r="L23" s="2948" t="s">
        <v>278</v>
      </c>
      <c r="M23" s="2948" t="s">
        <v>279</v>
      </c>
      <c r="N23" s="2948" t="s">
        <v>2928</v>
      </c>
      <c r="O23" s="2948" t="s">
        <v>2929</v>
      </c>
      <c r="P23" s="2948" t="s">
        <v>289</v>
      </c>
      <c r="Q23" s="2948" t="s">
        <v>298</v>
      </c>
      <c r="R23" s="2948" t="s">
        <v>2930</v>
      </c>
    </row>
    <row r="24" spans="1:19" ht="14.25" customHeight="1">
      <c r="A24" s="2948" t="s">
        <v>184</v>
      </c>
      <c r="B24" s="2949" t="s">
        <v>230</v>
      </c>
      <c r="C24" s="2948">
        <v>27930</v>
      </c>
      <c r="D24" s="2948">
        <v>32260</v>
      </c>
      <c r="E24" s="2948">
        <v>32120</v>
      </c>
      <c r="F24" s="2948"/>
      <c r="G24" s="2948">
        <v>23470</v>
      </c>
      <c r="K24" s="2949" t="s">
        <v>2931</v>
      </c>
      <c r="L24" s="2948" t="s">
        <v>281</v>
      </c>
      <c r="M24" s="2948" t="s">
        <v>282</v>
      </c>
      <c r="N24" s="2948" t="s">
        <v>2932</v>
      </c>
      <c r="O24" s="2948" t="s">
        <v>285</v>
      </c>
      <c r="P24" s="2948" t="s">
        <v>2933</v>
      </c>
      <c r="Q24" s="2957" t="s">
        <v>2934</v>
      </c>
      <c r="R24" s="2948" t="s">
        <v>2935</v>
      </c>
    </row>
    <row r="25" spans="1:19" ht="14.25" customHeight="1">
      <c r="A25" s="2948" t="s">
        <v>184</v>
      </c>
      <c r="B25" s="2949" t="s">
        <v>235</v>
      </c>
      <c r="C25" s="2948">
        <v>32230</v>
      </c>
      <c r="D25" s="2948">
        <v>29640</v>
      </c>
      <c r="E25" s="2948">
        <v>29510</v>
      </c>
      <c r="F25" s="2948"/>
      <c r="G25" s="2948">
        <v>21560</v>
      </c>
      <c r="K25" s="2949" t="s">
        <v>2936</v>
      </c>
      <c r="L25" s="2948" t="s">
        <v>2937</v>
      </c>
      <c r="M25" s="2948" t="s">
        <v>284</v>
      </c>
      <c r="N25" s="2948" t="s">
        <v>292</v>
      </c>
      <c r="O25" s="2948" t="s">
        <v>288</v>
      </c>
      <c r="P25" s="2948" t="s">
        <v>275</v>
      </c>
      <c r="Q25" s="2957" t="s">
        <v>271</v>
      </c>
      <c r="R25" s="2948" t="s">
        <v>2938</v>
      </c>
    </row>
    <row r="26" spans="1:19" ht="14.25" customHeight="1" thickBot="1">
      <c r="A26" s="2948" t="s">
        <v>184</v>
      </c>
      <c r="B26" s="2949" t="s">
        <v>244</v>
      </c>
      <c r="C26" s="2948">
        <v>31690</v>
      </c>
      <c r="D26" s="2948">
        <v>27650</v>
      </c>
      <c r="E26" s="2948">
        <v>28200</v>
      </c>
      <c r="F26" s="2948"/>
      <c r="G26" s="2948">
        <v>20110</v>
      </c>
      <c r="K26" s="2954" t="s">
        <v>2939</v>
      </c>
      <c r="L26" s="2948" t="s">
        <v>2940</v>
      </c>
      <c r="M26" s="2948" t="s">
        <v>287</v>
      </c>
      <c r="N26" s="2948" t="s">
        <v>294</v>
      </c>
      <c r="O26" s="2948" t="s">
        <v>2941</v>
      </c>
      <c r="P26" s="2948" t="s">
        <v>2942</v>
      </c>
      <c r="Q26" s="2957" t="s">
        <v>276</v>
      </c>
      <c r="R26" s="2948" t="s">
        <v>2943</v>
      </c>
    </row>
    <row r="27" spans="1:19" ht="14.25" customHeight="1">
      <c r="A27" s="2948" t="s">
        <v>184</v>
      </c>
      <c r="B27" s="2949" t="s">
        <v>251</v>
      </c>
      <c r="C27" s="2948">
        <v>29610</v>
      </c>
      <c r="D27" s="2948">
        <v>27770</v>
      </c>
      <c r="E27" s="2948">
        <v>28300</v>
      </c>
      <c r="F27" s="2948"/>
      <c r="G27" s="2948">
        <v>20210</v>
      </c>
      <c r="L27" s="2948" t="s">
        <v>2944</v>
      </c>
      <c r="M27" s="2948" t="s">
        <v>291</v>
      </c>
      <c r="N27" s="2948" t="s">
        <v>297</v>
      </c>
      <c r="O27" s="2948" t="s">
        <v>2945</v>
      </c>
      <c r="P27" s="2948" t="s">
        <v>2946</v>
      </c>
      <c r="Q27" s="2948" t="s">
        <v>2947</v>
      </c>
      <c r="R27" s="2948" t="s">
        <v>2948</v>
      </c>
    </row>
    <row r="28" spans="1:19" ht="14.25" customHeight="1">
      <c r="A28" s="2948" t="s">
        <v>184</v>
      </c>
      <c r="B28" s="2949" t="s">
        <v>259</v>
      </c>
      <c r="C28" s="2948"/>
      <c r="D28" s="2948">
        <v>31520</v>
      </c>
      <c r="E28" s="2948">
        <v>31410</v>
      </c>
      <c r="F28" s="2948"/>
      <c r="G28" s="2948">
        <v>22940</v>
      </c>
      <c r="L28" s="2948" t="s">
        <v>2949</v>
      </c>
      <c r="M28" s="2948" t="s">
        <v>2950</v>
      </c>
      <c r="N28" s="2948" t="s">
        <v>2951</v>
      </c>
      <c r="O28" s="2948" t="s">
        <v>2952</v>
      </c>
      <c r="P28" s="2948" t="s">
        <v>2953</v>
      </c>
      <c r="Q28" s="2948" t="s">
        <v>2954</v>
      </c>
      <c r="R28" s="2948" t="s">
        <v>2955</v>
      </c>
    </row>
    <row r="29" spans="1:19" ht="14.25" customHeight="1" thickBot="1">
      <c r="A29" s="2956" t="s">
        <v>184</v>
      </c>
      <c r="B29" s="2958" t="s">
        <v>2922</v>
      </c>
      <c r="C29" s="2959"/>
      <c r="D29" s="2959">
        <v>29460</v>
      </c>
      <c r="E29" s="2959">
        <v>28640</v>
      </c>
      <c r="F29" s="2959"/>
      <c r="G29" s="2959">
        <v>21430</v>
      </c>
      <c r="L29" s="2948" t="s">
        <v>2956</v>
      </c>
      <c r="M29" s="2948" t="s">
        <v>2957</v>
      </c>
      <c r="N29" s="2948" t="s">
        <v>2958</v>
      </c>
      <c r="O29" s="2948" t="s">
        <v>2959</v>
      </c>
      <c r="P29" s="2948" t="s">
        <v>2960</v>
      </c>
      <c r="Q29" s="2948" t="s">
        <v>2961</v>
      </c>
      <c r="R29" s="2948" t="s">
        <v>280</v>
      </c>
    </row>
    <row r="30" spans="1:19" ht="14.25" customHeight="1">
      <c r="A30" s="2953" t="s">
        <v>296</v>
      </c>
      <c r="B30" s="2944" t="s">
        <v>2855</v>
      </c>
      <c r="C30" s="2944">
        <v>26890</v>
      </c>
      <c r="D30" s="2944">
        <v>26770</v>
      </c>
      <c r="E30" s="2944">
        <v>25700</v>
      </c>
      <c r="F30" s="2944">
        <v>8180</v>
      </c>
      <c r="G30" s="2960">
        <v>18740</v>
      </c>
      <c r="L30" s="2948" t="s">
        <v>2962</v>
      </c>
      <c r="M30" s="2948" t="s">
        <v>2963</v>
      </c>
      <c r="N30" s="2948" t="s">
        <v>2964</v>
      </c>
      <c r="O30" s="2948" t="s">
        <v>2965</v>
      </c>
      <c r="P30" s="2948" t="s">
        <v>2966</v>
      </c>
      <c r="Q30" s="2948" t="s">
        <v>2967</v>
      </c>
      <c r="R30" s="2948" t="s">
        <v>2968</v>
      </c>
    </row>
    <row r="31" spans="1:19" ht="14.25" customHeight="1">
      <c r="A31" s="2948" t="s">
        <v>296</v>
      </c>
      <c r="B31" s="2949" t="s">
        <v>129</v>
      </c>
      <c r="C31" s="2948">
        <v>24550</v>
      </c>
      <c r="D31" s="2948">
        <v>23990</v>
      </c>
      <c r="E31" s="2948">
        <v>22930</v>
      </c>
      <c r="F31" s="2948">
        <v>7470</v>
      </c>
      <c r="G31" s="2961">
        <v>16790</v>
      </c>
      <c r="L31" s="2948" t="s">
        <v>2969</v>
      </c>
      <c r="M31" s="2948" t="s">
        <v>2970</v>
      </c>
      <c r="N31" s="2948" t="s">
        <v>2971</v>
      </c>
      <c r="O31" s="2948" t="s">
        <v>2972</v>
      </c>
      <c r="P31" s="2948" t="s">
        <v>2973</v>
      </c>
      <c r="Q31" s="2948" t="s">
        <v>2974</v>
      </c>
      <c r="R31" s="2948" t="s">
        <v>2975</v>
      </c>
    </row>
    <row r="32" spans="1:19" ht="14.25" customHeight="1" thickBot="1">
      <c r="A32" s="2948" t="s">
        <v>296</v>
      </c>
      <c r="B32" s="2949" t="s">
        <v>138</v>
      </c>
      <c r="C32" s="2948">
        <v>27210</v>
      </c>
      <c r="D32" s="2948">
        <v>23240</v>
      </c>
      <c r="E32" s="2948">
        <v>23260</v>
      </c>
      <c r="F32" s="2948">
        <v>7130</v>
      </c>
      <c r="G32" s="2961">
        <v>16270</v>
      </c>
      <c r="L32" s="2948" t="s">
        <v>2976</v>
      </c>
      <c r="M32" s="2948" t="s">
        <v>2977</v>
      </c>
      <c r="N32" s="2948" t="s">
        <v>300</v>
      </c>
      <c r="O32" s="2948" t="s">
        <v>2978</v>
      </c>
      <c r="P32" s="2948" t="s">
        <v>299</v>
      </c>
      <c r="Q32" s="2948" t="s">
        <v>2979</v>
      </c>
      <c r="R32" s="2955" t="s">
        <v>2980</v>
      </c>
    </row>
    <row r="33" spans="1:17" ht="14.25" customHeight="1" thickBot="1">
      <c r="A33" s="2948" t="s">
        <v>296</v>
      </c>
      <c r="B33" s="2949" t="s">
        <v>147</v>
      </c>
      <c r="C33" s="2948">
        <v>27300</v>
      </c>
      <c r="D33" s="2948">
        <v>22980</v>
      </c>
      <c r="E33" s="2948">
        <v>24260</v>
      </c>
      <c r="F33" s="2948">
        <v>5860</v>
      </c>
      <c r="G33" s="2961">
        <v>16090</v>
      </c>
      <c r="L33" s="2955" t="s">
        <v>2981</v>
      </c>
      <c r="M33" s="2948" t="s">
        <v>2982</v>
      </c>
      <c r="N33" s="2948" t="s">
        <v>301</v>
      </c>
      <c r="O33" s="2948" t="s">
        <v>2983</v>
      </c>
      <c r="P33" s="2948" t="s">
        <v>2984</v>
      </c>
      <c r="Q33" s="2948" t="s">
        <v>2985</v>
      </c>
    </row>
    <row r="34" spans="1:17" ht="14.25" customHeight="1">
      <c r="A34" s="2948" t="s">
        <v>296</v>
      </c>
      <c r="B34" s="2949" t="s">
        <v>156</v>
      </c>
      <c r="C34" s="2948">
        <v>23090</v>
      </c>
      <c r="D34" s="2948">
        <v>23390</v>
      </c>
      <c r="E34" s="2948">
        <v>23510</v>
      </c>
      <c r="F34" s="2948">
        <v>6700</v>
      </c>
      <c r="G34" s="2961">
        <v>16370</v>
      </c>
      <c r="M34" s="2948" t="s">
        <v>2986</v>
      </c>
      <c r="N34" s="2948" t="s">
        <v>302</v>
      </c>
      <c r="O34" s="2948" t="s">
        <v>2987</v>
      </c>
      <c r="P34" s="2948" t="s">
        <v>2988</v>
      </c>
      <c r="Q34" s="2948" t="s">
        <v>2989</v>
      </c>
    </row>
    <row r="35" spans="1:17" ht="14.25" customHeight="1">
      <c r="A35" s="2948" t="s">
        <v>296</v>
      </c>
      <c r="B35" s="2949" t="s">
        <v>163</v>
      </c>
      <c r="C35" s="2948">
        <v>27270</v>
      </c>
      <c r="D35" s="2948">
        <v>24270</v>
      </c>
      <c r="E35" s="2948">
        <v>24950</v>
      </c>
      <c r="F35" s="2948">
        <v>6600</v>
      </c>
      <c r="G35" s="2961">
        <v>16990</v>
      </c>
      <c r="M35" s="2948" t="s">
        <v>2990</v>
      </c>
      <c r="N35" s="2948" t="s">
        <v>2991</v>
      </c>
      <c r="O35" s="2948" t="s">
        <v>2992</v>
      </c>
      <c r="P35" s="2948" t="s">
        <v>2993</v>
      </c>
      <c r="Q35" s="2948" t="s">
        <v>2994</v>
      </c>
    </row>
    <row r="36" spans="1:17" ht="14.25" customHeight="1">
      <c r="A36" s="2948" t="s">
        <v>296</v>
      </c>
      <c r="B36" s="2949" t="s">
        <v>169</v>
      </c>
      <c r="C36" s="2948">
        <v>23490</v>
      </c>
      <c r="D36" s="2948">
        <v>23020</v>
      </c>
      <c r="E36" s="2948">
        <v>25230</v>
      </c>
      <c r="F36" s="2948">
        <v>6780</v>
      </c>
      <c r="G36" s="2961">
        <v>16120</v>
      </c>
      <c r="M36" s="2948" t="s">
        <v>2995</v>
      </c>
      <c r="N36" s="2948" t="s">
        <v>2996</v>
      </c>
      <c r="O36" s="2948" t="s">
        <v>2997</v>
      </c>
      <c r="P36" s="2948" t="s">
        <v>2998</v>
      </c>
      <c r="Q36" s="2948" t="s">
        <v>2999</v>
      </c>
    </row>
    <row r="37" spans="1:17" ht="14.25" customHeight="1">
      <c r="A37" s="2948" t="s">
        <v>296</v>
      </c>
      <c r="B37" s="2949" t="s">
        <v>176</v>
      </c>
      <c r="C37" s="2948">
        <v>24380</v>
      </c>
      <c r="D37" s="2948">
        <v>22240</v>
      </c>
      <c r="E37" s="2948">
        <v>25980</v>
      </c>
      <c r="F37" s="2948">
        <v>8160</v>
      </c>
      <c r="G37" s="2961">
        <v>15570</v>
      </c>
      <c r="M37" s="2948" t="s">
        <v>3000</v>
      </c>
      <c r="N37" s="2948" t="s">
        <v>3001</v>
      </c>
      <c r="O37" s="2948" t="s">
        <v>3002</v>
      </c>
      <c r="P37" s="2948" t="s">
        <v>3003</v>
      </c>
      <c r="Q37" s="2948" t="s">
        <v>3004</v>
      </c>
    </row>
    <row r="38" spans="1:17" ht="14.25" customHeight="1">
      <c r="A38" s="2948" t="s">
        <v>296</v>
      </c>
      <c r="B38" s="2949" t="s">
        <v>186</v>
      </c>
      <c r="C38" s="2948">
        <v>23120</v>
      </c>
      <c r="D38" s="2948">
        <v>24630</v>
      </c>
      <c r="E38" s="2948">
        <v>25030</v>
      </c>
      <c r="F38" s="2948">
        <v>7710</v>
      </c>
      <c r="G38" s="2961">
        <v>17240</v>
      </c>
      <c r="M38" s="2948" t="s">
        <v>3005</v>
      </c>
      <c r="N38" s="2948" t="s">
        <v>3006</v>
      </c>
      <c r="O38" s="2948" t="s">
        <v>3007</v>
      </c>
      <c r="P38" s="2948" t="s">
        <v>3008</v>
      </c>
      <c r="Q38" s="2948" t="s">
        <v>3009</v>
      </c>
    </row>
    <row r="39" spans="1:17" ht="14.25" customHeight="1">
      <c r="A39" s="2948" t="s">
        <v>296</v>
      </c>
      <c r="B39" s="2949" t="s">
        <v>195</v>
      </c>
      <c r="C39" s="2948">
        <v>22330</v>
      </c>
      <c r="D39" s="2948">
        <v>21140</v>
      </c>
      <c r="E39" s="2948">
        <v>23970</v>
      </c>
      <c r="F39" s="2948">
        <v>7940</v>
      </c>
      <c r="G39" s="2961">
        <v>14790</v>
      </c>
      <c r="M39" s="2948" t="s">
        <v>3010</v>
      </c>
      <c r="N39" s="2948" t="s">
        <v>3011</v>
      </c>
      <c r="O39" s="2948" t="s">
        <v>3012</v>
      </c>
      <c r="P39" s="2948" t="s">
        <v>3013</v>
      </c>
      <c r="Q39" s="2948" t="s">
        <v>3014</v>
      </c>
    </row>
    <row r="40" spans="1:17" ht="14.25" customHeight="1">
      <c r="A40" s="2948" t="s">
        <v>296</v>
      </c>
      <c r="B40" s="2949" t="s">
        <v>202</v>
      </c>
      <c r="C40" s="2948">
        <v>24740</v>
      </c>
      <c r="D40" s="2948">
        <v>24690</v>
      </c>
      <c r="E40" s="2948">
        <v>22610</v>
      </c>
      <c r="F40" s="2948"/>
      <c r="G40" s="2961">
        <v>17280</v>
      </c>
      <c r="M40" s="2948" t="s">
        <v>3015</v>
      </c>
      <c r="N40" s="2948" t="s">
        <v>3016</v>
      </c>
      <c r="O40" s="2948" t="s">
        <v>3017</v>
      </c>
      <c r="P40" s="2948" t="s">
        <v>3018</v>
      </c>
      <c r="Q40" s="2948" t="s">
        <v>3019</v>
      </c>
    </row>
    <row r="41" spans="1:17" ht="14.25" customHeight="1" thickBot="1">
      <c r="A41" s="2948" t="s">
        <v>296</v>
      </c>
      <c r="B41" s="2949" t="s">
        <v>209</v>
      </c>
      <c r="C41" s="2948">
        <v>21220</v>
      </c>
      <c r="D41" s="2948">
        <v>21120</v>
      </c>
      <c r="E41" s="2948">
        <v>22590</v>
      </c>
      <c r="F41" s="2948"/>
      <c r="G41" s="2961">
        <v>14780</v>
      </c>
      <c r="M41" s="2955" t="s">
        <v>3020</v>
      </c>
      <c r="N41" s="2948" t="s">
        <v>3021</v>
      </c>
      <c r="O41" s="2948" t="s">
        <v>3022</v>
      </c>
      <c r="P41" s="2948" t="s">
        <v>3023</v>
      </c>
      <c r="Q41" s="2948" t="s">
        <v>3024</v>
      </c>
    </row>
    <row r="42" spans="1:17" ht="14.25" customHeight="1">
      <c r="A42" s="2948" t="s">
        <v>296</v>
      </c>
      <c r="B42" s="2949" t="s">
        <v>215</v>
      </c>
      <c r="C42" s="2948">
        <v>24800</v>
      </c>
      <c r="D42" s="2948">
        <v>22280</v>
      </c>
      <c r="E42" s="2948">
        <v>24350</v>
      </c>
      <c r="F42" s="2948"/>
      <c r="G42" s="2961">
        <v>15590</v>
      </c>
      <c r="N42" s="2948" t="s">
        <v>3025</v>
      </c>
      <c r="O42" s="2948" t="s">
        <v>3026</v>
      </c>
      <c r="P42" s="2948" t="s">
        <v>3027</v>
      </c>
      <c r="Q42" s="2948" t="s">
        <v>3028</v>
      </c>
    </row>
    <row r="43" spans="1:17" ht="14.25" customHeight="1">
      <c r="A43" s="2948" t="s">
        <v>3029</v>
      </c>
      <c r="B43" s="2949" t="s">
        <v>223</v>
      </c>
      <c r="C43" s="2948">
        <v>21210</v>
      </c>
      <c r="D43" s="2948">
        <v>21160</v>
      </c>
      <c r="E43" s="2948">
        <v>22650</v>
      </c>
      <c r="F43" s="2948"/>
      <c r="G43" s="2961">
        <v>14800</v>
      </c>
      <c r="N43" s="2948" t="s">
        <v>3030</v>
      </c>
      <c r="O43" s="2948" t="s">
        <v>3031</v>
      </c>
      <c r="P43" s="2948" t="s">
        <v>3032</v>
      </c>
      <c r="Q43" s="2948" t="s">
        <v>3033</v>
      </c>
    </row>
    <row r="44" spans="1:17" ht="14.25" customHeight="1" thickBot="1">
      <c r="A44" s="2948" t="s">
        <v>296</v>
      </c>
      <c r="B44" s="2949" t="s">
        <v>231</v>
      </c>
      <c r="C44" s="2948">
        <v>22370</v>
      </c>
      <c r="D44" s="2948">
        <v>23140</v>
      </c>
      <c r="E44" s="2948">
        <v>25090</v>
      </c>
      <c r="F44" s="2948"/>
      <c r="G44" s="2961">
        <v>16190</v>
      </c>
      <c r="N44" s="2948" t="s">
        <v>3034</v>
      </c>
      <c r="O44" s="2948" t="s">
        <v>3035</v>
      </c>
      <c r="P44" s="2955" t="s">
        <v>3036</v>
      </c>
      <c r="Q44" s="2948" t="s">
        <v>3037</v>
      </c>
    </row>
    <row r="45" spans="1:17" ht="14.25" customHeight="1" thickBot="1">
      <c r="A45" s="2948" t="s">
        <v>296</v>
      </c>
      <c r="B45" s="2949" t="s">
        <v>236</v>
      </c>
      <c r="C45" s="2948">
        <v>21240</v>
      </c>
      <c r="D45" s="2948">
        <v>27050</v>
      </c>
      <c r="E45" s="2948">
        <v>28000</v>
      </c>
      <c r="F45" s="2948"/>
      <c r="G45" s="2961">
        <v>18940</v>
      </c>
      <c r="N45" s="2948" t="s">
        <v>3038</v>
      </c>
      <c r="O45" s="2955" t="s">
        <v>3039</v>
      </c>
      <c r="Q45" s="2948" t="s">
        <v>3040</v>
      </c>
    </row>
    <row r="46" spans="1:17" ht="14.25" customHeight="1">
      <c r="A46" s="2948" t="s">
        <v>296</v>
      </c>
      <c r="B46" s="2949" t="s">
        <v>245</v>
      </c>
      <c r="C46" s="2948">
        <v>23240</v>
      </c>
      <c r="D46" s="2948">
        <v>23000</v>
      </c>
      <c r="E46" s="2948">
        <v>24980</v>
      </c>
      <c r="F46" s="2948"/>
      <c r="G46" s="2961">
        <v>16100</v>
      </c>
      <c r="N46" s="2948" t="s">
        <v>3041</v>
      </c>
      <c r="Q46" s="2948" t="s">
        <v>3042</v>
      </c>
    </row>
    <row r="47" spans="1:17" ht="14.25" customHeight="1">
      <c r="A47" s="2948" t="s">
        <v>296</v>
      </c>
      <c r="B47" s="2949" t="s">
        <v>252</v>
      </c>
      <c r="C47" s="2948">
        <v>27150</v>
      </c>
      <c r="D47" s="2948">
        <v>23310</v>
      </c>
      <c r="E47" s="2948">
        <v>25150</v>
      </c>
      <c r="F47" s="2948"/>
      <c r="G47" s="2961">
        <v>16310</v>
      </c>
      <c r="N47" s="2948" t="s">
        <v>3043</v>
      </c>
      <c r="Q47" s="2948" t="s">
        <v>3044</v>
      </c>
    </row>
    <row r="48" spans="1:17" ht="14.25" customHeight="1">
      <c r="A48" s="2948" t="s">
        <v>296</v>
      </c>
      <c r="B48" s="2949" t="s">
        <v>260</v>
      </c>
      <c r="C48" s="2948">
        <v>23100</v>
      </c>
      <c r="D48" s="2948">
        <v>21110</v>
      </c>
      <c r="E48" s="2948">
        <v>23080</v>
      </c>
      <c r="F48" s="2948"/>
      <c r="G48" s="2961">
        <v>14780</v>
      </c>
      <c r="N48" s="2948" t="s">
        <v>3045</v>
      </c>
      <c r="Q48" s="2948" t="s">
        <v>3046</v>
      </c>
    </row>
    <row r="49" spans="1:17" ht="14.25" customHeight="1">
      <c r="A49" s="2948" t="s">
        <v>296</v>
      </c>
      <c r="B49" s="2949" t="s">
        <v>267</v>
      </c>
      <c r="C49" s="2948">
        <v>23400</v>
      </c>
      <c r="D49" s="2948">
        <v>22920</v>
      </c>
      <c r="E49" s="2948">
        <v>24900</v>
      </c>
      <c r="F49" s="2948"/>
      <c r="G49" s="2961">
        <v>16040</v>
      </c>
      <c r="N49" s="2948" t="s">
        <v>3047</v>
      </c>
      <c r="Q49" s="2948" t="s">
        <v>3048</v>
      </c>
    </row>
    <row r="50" spans="1:17" ht="14.25" customHeight="1">
      <c r="A50" s="2948" t="s">
        <v>296</v>
      </c>
      <c r="B50" s="2949" t="s">
        <v>2925</v>
      </c>
      <c r="C50" s="2948">
        <v>21200</v>
      </c>
      <c r="D50" s="2948">
        <v>26540</v>
      </c>
      <c r="E50" s="2948">
        <v>23200</v>
      </c>
      <c r="F50" s="2948"/>
      <c r="G50" s="2961">
        <v>18580</v>
      </c>
      <c r="N50" s="2948" t="s">
        <v>3049</v>
      </c>
      <c r="Q50" s="2949" t="s">
        <v>3050</v>
      </c>
    </row>
    <row r="51" spans="1:17" ht="14.25" customHeight="1" thickBot="1">
      <c r="A51" s="2948" t="s">
        <v>296</v>
      </c>
      <c r="B51" s="2949" t="s">
        <v>2927</v>
      </c>
      <c r="C51" s="2948">
        <v>23000</v>
      </c>
      <c r="D51" s="2948">
        <v>23460</v>
      </c>
      <c r="E51" s="2948">
        <v>25290</v>
      </c>
      <c r="F51" s="2948"/>
      <c r="G51" s="2961">
        <v>16420</v>
      </c>
      <c r="N51" s="2948" t="s">
        <v>3051</v>
      </c>
      <c r="Q51" s="2955" t="s">
        <v>3052</v>
      </c>
    </row>
    <row r="52" spans="1:17" ht="14.25" customHeight="1">
      <c r="A52" s="2948" t="s">
        <v>296</v>
      </c>
      <c r="B52" s="2949" t="s">
        <v>2931</v>
      </c>
      <c r="C52" s="2948">
        <v>26660</v>
      </c>
      <c r="D52" s="2948">
        <v>22350</v>
      </c>
      <c r="E52" s="2948">
        <v>22920</v>
      </c>
      <c r="F52" s="2948"/>
      <c r="G52" s="2961">
        <v>15640</v>
      </c>
      <c r="N52" s="2948" t="s">
        <v>3053</v>
      </c>
    </row>
    <row r="53" spans="1:17" ht="14.25" customHeight="1">
      <c r="A53" s="2948" t="s">
        <v>296</v>
      </c>
      <c r="B53" s="2949" t="s">
        <v>2936</v>
      </c>
      <c r="C53" s="2948">
        <v>23580</v>
      </c>
      <c r="D53" s="2948"/>
      <c r="E53" s="2948">
        <v>24280</v>
      </c>
      <c r="F53" s="2948"/>
      <c r="G53" s="2961"/>
      <c r="N53" s="2948" t="s">
        <v>3054</v>
      </c>
    </row>
    <row r="54" spans="1:17" ht="14.25" customHeight="1" thickBot="1">
      <c r="A54" s="2962" t="s">
        <v>296</v>
      </c>
      <c r="B54" s="2954" t="s">
        <v>2939</v>
      </c>
      <c r="C54" s="2955">
        <v>22460</v>
      </c>
      <c r="D54" s="2955"/>
      <c r="E54" s="2955"/>
      <c r="F54" s="2955"/>
      <c r="G54" s="2963"/>
      <c r="N54" s="2948" t="s">
        <v>3055</v>
      </c>
    </row>
    <row r="55" spans="1:17" ht="14.25" customHeight="1">
      <c r="A55" s="2953" t="s">
        <v>110</v>
      </c>
      <c r="B55" s="2944" t="s">
        <v>3056</v>
      </c>
      <c r="C55" s="2948">
        <v>21970</v>
      </c>
      <c r="D55" s="2948">
        <v>20370</v>
      </c>
      <c r="E55" s="2948">
        <v>20180</v>
      </c>
      <c r="F55" s="2948">
        <v>5730</v>
      </c>
      <c r="G55" s="2948">
        <v>13820</v>
      </c>
      <c r="N55" s="2948" t="s">
        <v>3057</v>
      </c>
    </row>
    <row r="56" spans="1:17" ht="14.25" customHeight="1">
      <c r="A56" s="2948" t="s">
        <v>110</v>
      </c>
      <c r="B56" s="2948" t="s">
        <v>130</v>
      </c>
      <c r="C56" s="2948">
        <v>20470</v>
      </c>
      <c r="D56" s="2948">
        <v>20700</v>
      </c>
      <c r="E56" s="2948">
        <v>20380</v>
      </c>
      <c r="F56" s="2948">
        <v>4760</v>
      </c>
      <c r="G56" s="2948">
        <v>14050</v>
      </c>
      <c r="N56" s="2948" t="s">
        <v>3058</v>
      </c>
    </row>
    <row r="57" spans="1:17" ht="14.25" customHeight="1">
      <c r="A57" s="2948" t="s">
        <v>110</v>
      </c>
      <c r="B57" s="2948" t="s">
        <v>139</v>
      </c>
      <c r="C57" s="2948">
        <v>20790</v>
      </c>
      <c r="D57" s="2948">
        <v>21370</v>
      </c>
      <c r="E57" s="2948">
        <v>20890</v>
      </c>
      <c r="F57" s="2948">
        <v>4910</v>
      </c>
      <c r="G57" s="2948">
        <v>14510</v>
      </c>
      <c r="N57" s="2948" t="s">
        <v>3059</v>
      </c>
    </row>
    <row r="58" spans="1:17" ht="14.25" customHeight="1">
      <c r="A58" s="2948" t="s">
        <v>110</v>
      </c>
      <c r="B58" s="2948" t="s">
        <v>148</v>
      </c>
      <c r="C58" s="2948">
        <v>21460</v>
      </c>
      <c r="D58" s="2948">
        <v>20920</v>
      </c>
      <c r="E58" s="2948">
        <v>23410</v>
      </c>
      <c r="F58" s="2948">
        <v>5100</v>
      </c>
      <c r="G58" s="2948">
        <v>14200</v>
      </c>
      <c r="N58" s="2948" t="s">
        <v>3060</v>
      </c>
    </row>
    <row r="59" spans="1:17" ht="14.25" customHeight="1">
      <c r="A59" s="2948" t="s">
        <v>110</v>
      </c>
      <c r="B59" s="2948" t="s">
        <v>157</v>
      </c>
      <c r="C59" s="2948">
        <v>21000</v>
      </c>
      <c r="D59" s="2948">
        <v>21550</v>
      </c>
      <c r="E59" s="2948">
        <v>21150</v>
      </c>
      <c r="F59" s="2948">
        <v>5250</v>
      </c>
      <c r="G59" s="2948">
        <v>14630</v>
      </c>
      <c r="N59" s="2948" t="s">
        <v>3061</v>
      </c>
    </row>
    <row r="60" spans="1:17" ht="14.25" customHeight="1">
      <c r="A60" s="2948" t="s">
        <v>110</v>
      </c>
      <c r="B60" s="2948" t="s">
        <v>164</v>
      </c>
      <c r="C60" s="2948">
        <v>21640</v>
      </c>
      <c r="D60" s="2948">
        <v>21260</v>
      </c>
      <c r="E60" s="2948">
        <v>24040</v>
      </c>
      <c r="F60" s="2948">
        <v>4470</v>
      </c>
      <c r="G60" s="2948">
        <v>14430</v>
      </c>
      <c r="N60" s="2948" t="s">
        <v>3062</v>
      </c>
    </row>
    <row r="61" spans="1:17" ht="14.25" customHeight="1">
      <c r="A61" s="2948" t="s">
        <v>110</v>
      </c>
      <c r="B61" s="2948" t="s">
        <v>170</v>
      </c>
      <c r="C61" s="2948">
        <v>21330</v>
      </c>
      <c r="D61" s="2948">
        <v>18640</v>
      </c>
      <c r="E61" s="2948">
        <v>21190</v>
      </c>
      <c r="F61" s="2948">
        <v>4180</v>
      </c>
      <c r="G61" s="2948">
        <v>12650</v>
      </c>
      <c r="N61" s="2948" t="s">
        <v>3063</v>
      </c>
    </row>
    <row r="62" spans="1:17" ht="14.25" customHeight="1">
      <c r="A62" s="2948" t="s">
        <v>110</v>
      </c>
      <c r="B62" s="2948" t="s">
        <v>177</v>
      </c>
      <c r="C62" s="2948">
        <v>18710</v>
      </c>
      <c r="D62" s="2948">
        <v>19400</v>
      </c>
      <c r="E62" s="2948">
        <v>23750</v>
      </c>
      <c r="F62" s="2948">
        <v>4860</v>
      </c>
      <c r="G62" s="2948">
        <v>13170</v>
      </c>
      <c r="N62" s="2948" t="s">
        <v>3064</v>
      </c>
    </row>
    <row r="63" spans="1:17" ht="14.25" customHeight="1">
      <c r="A63" s="2948" t="s">
        <v>110</v>
      </c>
      <c r="B63" s="2948" t="s">
        <v>187</v>
      </c>
      <c r="C63" s="2948">
        <v>19480</v>
      </c>
      <c r="D63" s="2948">
        <v>16830</v>
      </c>
      <c r="E63" s="2948">
        <v>21590</v>
      </c>
      <c r="F63" s="2948">
        <v>4560</v>
      </c>
      <c r="G63" s="2948">
        <v>11420</v>
      </c>
      <c r="N63" s="2948" t="s">
        <v>3065</v>
      </c>
    </row>
    <row r="64" spans="1:17" ht="14.25" customHeight="1" thickBot="1">
      <c r="A64" s="2948" t="s">
        <v>110</v>
      </c>
      <c r="B64" s="2948" t="s">
        <v>196</v>
      </c>
      <c r="C64" s="2948">
        <v>16920</v>
      </c>
      <c r="D64" s="2948">
        <v>19190</v>
      </c>
      <c r="E64" s="2948">
        <v>22200</v>
      </c>
      <c r="F64" s="2948">
        <v>4390</v>
      </c>
      <c r="G64" s="2948">
        <v>13030</v>
      </c>
      <c r="N64" s="2955" t="s">
        <v>3066</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2937</v>
      </c>
      <c r="C78" s="2948">
        <v>19820</v>
      </c>
      <c r="D78" s="2948">
        <v>19780</v>
      </c>
      <c r="E78" s="2948">
        <v>18560</v>
      </c>
      <c r="F78" s="2948"/>
      <c r="G78" s="2948">
        <v>13430</v>
      </c>
    </row>
    <row r="79" spans="1:7" s="2782" customFormat="1" ht="14.25" customHeight="1">
      <c r="A79" s="2948" t="s">
        <v>110</v>
      </c>
      <c r="B79" s="2948" t="s">
        <v>2940</v>
      </c>
      <c r="C79" s="2948">
        <v>21660</v>
      </c>
      <c r="D79" s="2948">
        <v>18000</v>
      </c>
      <c r="E79" s="2948">
        <v>22570</v>
      </c>
      <c r="F79" s="2948"/>
      <c r="G79" s="2948">
        <v>12220</v>
      </c>
    </row>
    <row r="80" spans="1:7" s="2782" customFormat="1" ht="14.25" customHeight="1">
      <c r="A80" s="2948" t="s">
        <v>110</v>
      </c>
      <c r="B80" s="2948" t="s">
        <v>2944</v>
      </c>
      <c r="C80" s="2948">
        <v>19850</v>
      </c>
      <c r="D80" s="2948"/>
      <c r="E80" s="2948">
        <v>21700</v>
      </c>
      <c r="F80" s="2948"/>
      <c r="G80" s="2948"/>
    </row>
    <row r="81" spans="1:7" s="2782" customFormat="1" ht="14.25" customHeight="1">
      <c r="A81" s="2948" t="s">
        <v>110</v>
      </c>
      <c r="B81" s="2948" t="s">
        <v>2949</v>
      </c>
      <c r="C81" s="2948">
        <v>18080</v>
      </c>
      <c r="D81" s="2948"/>
      <c r="E81" s="2948">
        <v>20900</v>
      </c>
      <c r="F81" s="2948"/>
      <c r="G81" s="2948"/>
    </row>
    <row r="82" spans="1:7" s="2782" customFormat="1" ht="14.25" customHeight="1">
      <c r="A82" s="2948" t="s">
        <v>110</v>
      </c>
      <c r="B82" s="2948" t="s">
        <v>2956</v>
      </c>
      <c r="C82" s="2948"/>
      <c r="D82" s="2948"/>
      <c r="E82" s="2948">
        <v>20840</v>
      </c>
      <c r="F82" s="2948"/>
      <c r="G82" s="2948"/>
    </row>
    <row r="83" spans="1:7" s="2782" customFormat="1" ht="14.25" customHeight="1">
      <c r="A83" s="2948" t="s">
        <v>110</v>
      </c>
      <c r="B83" s="2948" t="s">
        <v>3067</v>
      </c>
      <c r="C83" s="2948"/>
      <c r="D83" s="2948"/>
      <c r="E83" s="2948"/>
      <c r="F83" s="2948">
        <v>4770</v>
      </c>
      <c r="G83" s="2948"/>
    </row>
    <row r="84" spans="1:7" s="2782" customFormat="1" ht="14.25" customHeight="1">
      <c r="A84" s="2948" t="s">
        <v>110</v>
      </c>
      <c r="B84" s="2948" t="s">
        <v>3068</v>
      </c>
      <c r="C84" s="2948"/>
      <c r="D84" s="2948"/>
      <c r="E84" s="2948"/>
      <c r="F84" s="2948">
        <v>4600</v>
      </c>
      <c r="G84" s="2948"/>
    </row>
    <row r="85" spans="1:7" s="2782" customFormat="1" ht="14.25" customHeight="1">
      <c r="A85" s="2948" t="s">
        <v>110</v>
      </c>
      <c r="B85" s="2948" t="s">
        <v>3069</v>
      </c>
      <c r="C85" s="2948"/>
      <c r="D85" s="2948"/>
      <c r="E85" s="2948"/>
      <c r="F85" s="2948">
        <v>4680</v>
      </c>
      <c r="G85" s="2948"/>
    </row>
    <row r="86" spans="1:7" s="2782" customFormat="1" ht="14.25" customHeight="1" thickBot="1">
      <c r="A86" s="2956" t="s">
        <v>110</v>
      </c>
      <c r="B86" s="2958" t="s">
        <v>3070</v>
      </c>
      <c r="C86" s="2959">
        <v>16610</v>
      </c>
      <c r="D86" s="2959">
        <v>16540</v>
      </c>
      <c r="E86" s="2959">
        <v>18850</v>
      </c>
      <c r="F86" s="2959"/>
      <c r="G86" s="2959">
        <v>11220</v>
      </c>
    </row>
    <row r="87" spans="1:7" s="2782" customFormat="1" ht="14.25" customHeight="1">
      <c r="A87" s="2953" t="s">
        <v>303</v>
      </c>
      <c r="B87" s="2944" t="s">
        <v>3071</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2950</v>
      </c>
      <c r="C113" s="2948">
        <v>15520</v>
      </c>
      <c r="D113" s="2948">
        <v>15450</v>
      </c>
      <c r="E113" s="2948"/>
      <c r="F113" s="2948"/>
      <c r="G113" s="2961">
        <v>10210</v>
      </c>
    </row>
    <row r="114" spans="1:7" s="2782" customFormat="1" ht="14.25" customHeight="1">
      <c r="A114" s="2948" t="s">
        <v>303</v>
      </c>
      <c r="B114" s="2948" t="s">
        <v>2957</v>
      </c>
      <c r="C114" s="2948">
        <v>13110</v>
      </c>
      <c r="D114" s="2948">
        <v>13050</v>
      </c>
      <c r="E114" s="2948"/>
      <c r="F114" s="2948"/>
      <c r="G114" s="2961">
        <v>8620</v>
      </c>
    </row>
    <row r="115" spans="1:7" s="2782" customFormat="1" ht="14.25" customHeight="1">
      <c r="A115" s="2948" t="s">
        <v>303</v>
      </c>
      <c r="B115" s="2948" t="s">
        <v>2963</v>
      </c>
      <c r="C115" s="2948">
        <v>12460</v>
      </c>
      <c r="D115" s="2948">
        <v>12390</v>
      </c>
      <c r="E115" s="2948"/>
      <c r="F115" s="2948"/>
      <c r="G115" s="2961">
        <v>8190</v>
      </c>
    </row>
    <row r="116" spans="1:7" s="2782" customFormat="1" ht="14.25" customHeight="1">
      <c r="A116" s="2948" t="s">
        <v>303</v>
      </c>
      <c r="B116" s="2948" t="s">
        <v>2970</v>
      </c>
      <c r="C116" s="2948">
        <v>13580</v>
      </c>
      <c r="D116" s="2948">
        <v>13520</v>
      </c>
      <c r="E116" s="2948"/>
      <c r="F116" s="2948"/>
      <c r="G116" s="2961">
        <v>8930</v>
      </c>
    </row>
    <row r="117" spans="1:7" s="2782" customFormat="1" ht="14.25" customHeight="1">
      <c r="A117" s="2948" t="s">
        <v>303</v>
      </c>
      <c r="B117" s="2948" t="s">
        <v>2977</v>
      </c>
      <c r="C117" s="2948">
        <v>17120</v>
      </c>
      <c r="D117" s="2948">
        <v>17040</v>
      </c>
      <c r="E117" s="2948"/>
      <c r="F117" s="2948"/>
      <c r="G117" s="2961">
        <v>11260</v>
      </c>
    </row>
    <row r="118" spans="1:7" s="2782" customFormat="1" ht="14.25" customHeight="1">
      <c r="A118" s="2948" t="s">
        <v>303</v>
      </c>
      <c r="B118" s="2948" t="s">
        <v>2982</v>
      </c>
      <c r="C118" s="2948">
        <v>14860</v>
      </c>
      <c r="D118" s="2948">
        <v>14790</v>
      </c>
      <c r="E118" s="2948"/>
      <c r="F118" s="2948"/>
      <c r="G118" s="2961">
        <v>9780</v>
      </c>
    </row>
    <row r="119" spans="1:7" s="2782" customFormat="1" ht="14.25" customHeight="1">
      <c r="A119" s="2948" t="s">
        <v>303</v>
      </c>
      <c r="B119" s="2948" t="s">
        <v>2986</v>
      </c>
      <c r="C119" s="2948">
        <v>16470</v>
      </c>
      <c r="D119" s="2948">
        <v>16400</v>
      </c>
      <c r="E119" s="2948"/>
      <c r="F119" s="2948"/>
      <c r="G119" s="2961">
        <v>10840</v>
      </c>
    </row>
    <row r="120" spans="1:7" s="2782" customFormat="1" ht="14.25" customHeight="1">
      <c r="A120" s="2948" t="s">
        <v>303</v>
      </c>
      <c r="B120" s="2948" t="s">
        <v>3072</v>
      </c>
      <c r="C120" s="2948"/>
      <c r="D120" s="2948"/>
      <c r="E120" s="2948"/>
      <c r="F120" s="2948">
        <v>4160</v>
      </c>
      <c r="G120" s="2961"/>
    </row>
    <row r="121" spans="1:7" s="2782" customFormat="1" ht="14.25" customHeight="1">
      <c r="A121" s="2948" t="s">
        <v>303</v>
      </c>
      <c r="B121" s="2948" t="s">
        <v>3073</v>
      </c>
      <c r="C121" s="2948"/>
      <c r="D121" s="2948"/>
      <c r="E121" s="2948"/>
      <c r="F121" s="2948">
        <v>3880</v>
      </c>
      <c r="G121" s="2961"/>
    </row>
    <row r="122" spans="1:7" s="2782" customFormat="1" ht="14.25" customHeight="1">
      <c r="A122" s="2948" t="s">
        <v>303</v>
      </c>
      <c r="B122" s="2948" t="s">
        <v>3074</v>
      </c>
      <c r="C122" s="2948">
        <v>13750</v>
      </c>
      <c r="D122" s="2948">
        <v>13680</v>
      </c>
      <c r="E122" s="2948">
        <v>16460</v>
      </c>
      <c r="F122" s="2948">
        <v>2880</v>
      </c>
      <c r="G122" s="2961">
        <v>9040</v>
      </c>
    </row>
    <row r="123" spans="1:7" s="2782" customFormat="1" ht="14.25" customHeight="1">
      <c r="A123" s="2948" t="s">
        <v>303</v>
      </c>
      <c r="B123" s="2948" t="s">
        <v>3005</v>
      </c>
      <c r="C123" s="2948">
        <v>13590</v>
      </c>
      <c r="D123" s="2948">
        <v>13520</v>
      </c>
      <c r="E123" s="2948">
        <v>16290</v>
      </c>
      <c r="F123" s="2948">
        <v>2790</v>
      </c>
      <c r="G123" s="2961">
        <v>8930</v>
      </c>
    </row>
    <row r="124" spans="1:7" s="2782" customFormat="1" ht="14.25" customHeight="1">
      <c r="A124" s="2948" t="s">
        <v>303</v>
      </c>
      <c r="B124" s="2948" t="s">
        <v>3010</v>
      </c>
      <c r="C124" s="2948">
        <v>13400</v>
      </c>
      <c r="D124" s="2948">
        <v>13320</v>
      </c>
      <c r="E124" s="2948">
        <v>16100</v>
      </c>
      <c r="F124" s="2948">
        <v>2320</v>
      </c>
      <c r="G124" s="2961">
        <v>8800</v>
      </c>
    </row>
    <row r="125" spans="1:7" s="2782" customFormat="1" ht="14.25" customHeight="1">
      <c r="A125" s="2948" t="s">
        <v>303</v>
      </c>
      <c r="B125" s="2948" t="s">
        <v>3015</v>
      </c>
      <c r="C125" s="2948">
        <v>12860</v>
      </c>
      <c r="D125" s="2948">
        <v>12790</v>
      </c>
      <c r="E125" s="2948">
        <v>15370</v>
      </c>
      <c r="F125" s="2948">
        <v>2280</v>
      </c>
      <c r="G125" s="2961">
        <v>8450</v>
      </c>
    </row>
    <row r="126" spans="1:7" s="2782" customFormat="1" ht="14.25" customHeight="1" thickBot="1">
      <c r="A126" s="2962" t="s">
        <v>303</v>
      </c>
      <c r="B126" s="2955" t="s">
        <v>3020</v>
      </c>
      <c r="C126" s="2955">
        <v>12960</v>
      </c>
      <c r="D126" s="2955">
        <v>12890</v>
      </c>
      <c r="E126" s="2955">
        <v>15530</v>
      </c>
      <c r="F126" s="2955">
        <v>2910</v>
      </c>
      <c r="G126" s="2963">
        <v>8520</v>
      </c>
    </row>
    <row r="127" spans="1:7" s="2782" customFormat="1" ht="14.25" customHeight="1">
      <c r="A127" s="2953" t="s">
        <v>29</v>
      </c>
      <c r="B127" s="2944" t="s">
        <v>3075</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3076</v>
      </c>
      <c r="C148" s="2948">
        <v>10370</v>
      </c>
      <c r="D148" s="2948">
        <v>10310</v>
      </c>
      <c r="E148" s="2948">
        <v>12970</v>
      </c>
      <c r="F148" s="2948"/>
      <c r="G148" s="2948">
        <v>6630</v>
      </c>
    </row>
    <row r="149" spans="1:7" s="2782" customFormat="1" ht="14.25" customHeight="1">
      <c r="A149" s="2948" t="s">
        <v>29</v>
      </c>
      <c r="B149" s="2948" t="s">
        <v>3077</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2951</v>
      </c>
      <c r="C153" s="2948">
        <v>10880</v>
      </c>
      <c r="D153" s="2948">
        <v>10820</v>
      </c>
      <c r="E153" s="2948">
        <v>13660</v>
      </c>
      <c r="F153" s="2948">
        <v>2260</v>
      </c>
      <c r="G153" s="2948">
        <v>6970</v>
      </c>
    </row>
    <row r="154" spans="1:7" s="2782" customFormat="1" ht="14.25" customHeight="1">
      <c r="A154" s="2948" t="s">
        <v>29</v>
      </c>
      <c r="B154" s="2948" t="s">
        <v>3078</v>
      </c>
      <c r="C154" s="2948">
        <v>11220</v>
      </c>
      <c r="D154" s="2948">
        <v>11160</v>
      </c>
      <c r="E154" s="2948">
        <v>14130</v>
      </c>
      <c r="F154" s="2948">
        <v>2230</v>
      </c>
      <c r="G154" s="2948">
        <v>7180</v>
      </c>
    </row>
    <row r="155" spans="1:7" s="2782" customFormat="1" ht="14.25" customHeight="1">
      <c r="A155" s="2948" t="s">
        <v>29</v>
      </c>
      <c r="B155" s="2948" t="s">
        <v>2964</v>
      </c>
      <c r="C155" s="2948">
        <v>10430</v>
      </c>
      <c r="D155" s="2948">
        <v>10380</v>
      </c>
      <c r="E155" s="2948">
        <v>13140</v>
      </c>
      <c r="F155" s="2948">
        <v>2080</v>
      </c>
      <c r="G155" s="2948">
        <v>6650</v>
      </c>
    </row>
    <row r="156" spans="1:7" s="2782" customFormat="1" ht="14.25" customHeight="1">
      <c r="A156" s="2948" t="s">
        <v>29</v>
      </c>
      <c r="B156" s="2948" t="s">
        <v>3079</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3080</v>
      </c>
      <c r="C160" s="2948">
        <v>11180</v>
      </c>
      <c r="D160" s="2948">
        <v>11140</v>
      </c>
      <c r="E160" s="2948">
        <v>14050</v>
      </c>
      <c r="F160" s="2948">
        <v>2270</v>
      </c>
      <c r="G160" s="2948">
        <v>7170</v>
      </c>
    </row>
    <row r="161" spans="1:7" s="2782" customFormat="1" ht="14.25" customHeight="1">
      <c r="A161" s="2948" t="s">
        <v>29</v>
      </c>
      <c r="B161" s="2948" t="s">
        <v>2996</v>
      </c>
      <c r="C161" s="2948">
        <v>11160</v>
      </c>
      <c r="D161" s="2948">
        <v>11120</v>
      </c>
      <c r="E161" s="2948">
        <v>14020</v>
      </c>
      <c r="F161" s="2948">
        <v>2150</v>
      </c>
      <c r="G161" s="2948">
        <v>7160</v>
      </c>
    </row>
    <row r="162" spans="1:7" s="2782" customFormat="1" ht="14.25" customHeight="1">
      <c r="A162" s="2948" t="s">
        <v>29</v>
      </c>
      <c r="B162" s="2948" t="s">
        <v>3001</v>
      </c>
      <c r="C162" s="2948">
        <v>9620</v>
      </c>
      <c r="D162" s="2948">
        <v>9570</v>
      </c>
      <c r="E162" s="2948">
        <v>12320</v>
      </c>
      <c r="F162" s="2948">
        <v>2010</v>
      </c>
      <c r="G162" s="2948">
        <v>6160</v>
      </c>
    </row>
    <row r="163" spans="1:7" s="2782" customFormat="1" ht="14.25" customHeight="1">
      <c r="A163" s="2948" t="s">
        <v>29</v>
      </c>
      <c r="B163" s="2948" t="s">
        <v>3006</v>
      </c>
      <c r="C163" s="2948">
        <v>9320</v>
      </c>
      <c r="D163" s="2948">
        <v>9270</v>
      </c>
      <c r="E163" s="2948">
        <v>11790</v>
      </c>
      <c r="F163" s="2948">
        <v>1920</v>
      </c>
      <c r="G163" s="2948">
        <v>5960</v>
      </c>
    </row>
    <row r="164" spans="1:7" s="2782" customFormat="1" ht="14.25" customHeight="1">
      <c r="A164" s="2948" t="s">
        <v>29</v>
      </c>
      <c r="B164" s="2948" t="s">
        <v>3011</v>
      </c>
      <c r="C164" s="2948"/>
      <c r="D164" s="2948"/>
      <c r="E164" s="2948"/>
      <c r="F164" s="2948">
        <v>1980</v>
      </c>
      <c r="G164" s="2948"/>
    </row>
    <row r="165" spans="1:7" s="2782" customFormat="1" ht="14.25" customHeight="1">
      <c r="A165" s="2948" t="s">
        <v>29</v>
      </c>
      <c r="B165" s="2948" t="s">
        <v>3081</v>
      </c>
      <c r="C165" s="2948">
        <v>11060</v>
      </c>
      <c r="D165" s="2948">
        <v>11030</v>
      </c>
      <c r="E165" s="2948">
        <v>13850</v>
      </c>
      <c r="F165" s="2948">
        <v>2170</v>
      </c>
      <c r="G165" s="2948">
        <v>7090</v>
      </c>
    </row>
    <row r="166" spans="1:7" s="2782" customFormat="1" ht="14.25" customHeight="1">
      <c r="A166" s="2948" t="s">
        <v>29</v>
      </c>
      <c r="B166" s="2948" t="s">
        <v>3021</v>
      </c>
      <c r="C166" s="2948">
        <v>11050</v>
      </c>
      <c r="D166" s="2948">
        <v>11010</v>
      </c>
      <c r="E166" s="2948">
        <v>13920</v>
      </c>
      <c r="F166" s="2948">
        <v>2140</v>
      </c>
      <c r="G166" s="2948">
        <v>7080</v>
      </c>
    </row>
    <row r="167" spans="1:7" s="2782" customFormat="1" ht="14.25" customHeight="1">
      <c r="A167" s="2948" t="s">
        <v>29</v>
      </c>
      <c r="B167" s="2948" t="s">
        <v>3025</v>
      </c>
      <c r="C167" s="2948">
        <v>10930</v>
      </c>
      <c r="D167" s="2948">
        <v>10890</v>
      </c>
      <c r="E167" s="2948">
        <v>13790</v>
      </c>
      <c r="F167" s="2948">
        <v>2010</v>
      </c>
      <c r="G167" s="2948">
        <v>7000</v>
      </c>
    </row>
    <row r="168" spans="1:7" s="2782" customFormat="1" ht="14.25" customHeight="1">
      <c r="A168" s="2948" t="s">
        <v>29</v>
      </c>
      <c r="B168" s="2948" t="s">
        <v>3030</v>
      </c>
      <c r="C168" s="2948">
        <v>9420</v>
      </c>
      <c r="D168" s="2948">
        <v>9380</v>
      </c>
      <c r="E168" s="2948">
        <v>11970</v>
      </c>
      <c r="F168" s="2948"/>
      <c r="G168" s="2948">
        <v>6040</v>
      </c>
    </row>
    <row r="169" spans="1:7" s="2782" customFormat="1" ht="14.25" customHeight="1">
      <c r="A169" s="2948" t="s">
        <v>29</v>
      </c>
      <c r="B169" s="2948" t="s">
        <v>3082</v>
      </c>
      <c r="C169" s="2948"/>
      <c r="D169" s="2948"/>
      <c r="E169" s="2948"/>
      <c r="F169" s="2948">
        <v>2880</v>
      </c>
      <c r="G169" s="2948"/>
    </row>
    <row r="170" spans="1:7" s="2782" customFormat="1" ht="14.25" customHeight="1">
      <c r="A170" s="2948" t="s">
        <v>29</v>
      </c>
      <c r="B170" s="2948" t="s">
        <v>3038</v>
      </c>
      <c r="C170" s="2948"/>
      <c r="D170" s="2948"/>
      <c r="E170" s="2948"/>
      <c r="F170" s="2948">
        <v>2880</v>
      </c>
      <c r="G170" s="2948"/>
    </row>
    <row r="171" spans="1:7" s="2782" customFormat="1" ht="14.25" customHeight="1">
      <c r="A171" s="2948" t="s">
        <v>29</v>
      </c>
      <c r="B171" s="2948" t="s">
        <v>3041</v>
      </c>
      <c r="C171" s="2948"/>
      <c r="D171" s="2948"/>
      <c r="E171" s="2948"/>
      <c r="F171" s="2948">
        <v>2880</v>
      </c>
      <c r="G171" s="2948"/>
    </row>
    <row r="172" spans="1:7" s="2782" customFormat="1" ht="14.25" customHeight="1">
      <c r="A172" s="2948" t="s">
        <v>29</v>
      </c>
      <c r="B172" s="2948" t="s">
        <v>3043</v>
      </c>
      <c r="C172" s="2948"/>
      <c r="D172" s="2948"/>
      <c r="E172" s="2948"/>
      <c r="F172" s="2948">
        <v>2880</v>
      </c>
      <c r="G172" s="2948"/>
    </row>
    <row r="173" spans="1:7" s="2782" customFormat="1" ht="14.25" customHeight="1">
      <c r="A173" s="2948" t="s">
        <v>29</v>
      </c>
      <c r="B173" s="2948" t="s">
        <v>3045</v>
      </c>
      <c r="C173" s="2948"/>
      <c r="D173" s="2948"/>
      <c r="E173" s="2948"/>
      <c r="F173" s="2948">
        <v>2150</v>
      </c>
      <c r="G173" s="2948"/>
    </row>
    <row r="174" spans="1:7" s="2782" customFormat="1" ht="14.25" customHeight="1">
      <c r="A174" s="2948" t="s">
        <v>29</v>
      </c>
      <c r="B174" s="2948" t="s">
        <v>3047</v>
      </c>
      <c r="C174" s="2948"/>
      <c r="D174" s="2948"/>
      <c r="E174" s="2948"/>
      <c r="F174" s="2948">
        <v>2030</v>
      </c>
      <c r="G174" s="2948"/>
    </row>
    <row r="175" spans="1:7" s="2782" customFormat="1" ht="14.25" customHeight="1">
      <c r="A175" s="2948" t="s">
        <v>29</v>
      </c>
      <c r="B175" s="2948" t="s">
        <v>3049</v>
      </c>
      <c r="C175" s="2948"/>
      <c r="D175" s="2948"/>
      <c r="E175" s="2948"/>
      <c r="F175" s="2948">
        <v>2780</v>
      </c>
      <c r="G175" s="2948"/>
    </row>
    <row r="176" spans="1:7" s="2782" customFormat="1" ht="14.25" customHeight="1">
      <c r="A176" s="2948" t="s">
        <v>29</v>
      </c>
      <c r="B176" s="2948" t="s">
        <v>3051</v>
      </c>
      <c r="C176" s="2948"/>
      <c r="D176" s="2948"/>
      <c r="E176" s="2948"/>
      <c r="F176" s="2948">
        <v>2780</v>
      </c>
      <c r="G176" s="2948"/>
    </row>
    <row r="177" spans="1:7" s="2782" customFormat="1" ht="14.25" customHeight="1">
      <c r="A177" s="2948" t="s">
        <v>29</v>
      </c>
      <c r="B177" s="2948" t="s">
        <v>3083</v>
      </c>
      <c r="C177" s="2948"/>
      <c r="D177" s="2948"/>
      <c r="E177" s="2948"/>
      <c r="F177" s="2948">
        <v>2780</v>
      </c>
      <c r="G177" s="2948"/>
    </row>
    <row r="178" spans="1:7" s="2782" customFormat="1" ht="14.25" customHeight="1">
      <c r="A178" s="2948" t="s">
        <v>29</v>
      </c>
      <c r="B178" s="2948" t="s">
        <v>3084</v>
      </c>
      <c r="C178" s="2948"/>
      <c r="D178" s="2948"/>
      <c r="E178" s="2948"/>
      <c r="F178" s="2948">
        <v>2060</v>
      </c>
      <c r="G178" s="2948"/>
    </row>
    <row r="179" spans="1:7" s="2782" customFormat="1" ht="14.25" customHeight="1">
      <c r="A179" s="2948" t="s">
        <v>29</v>
      </c>
      <c r="B179" s="2948" t="s">
        <v>3085</v>
      </c>
      <c r="C179" s="2948"/>
      <c r="D179" s="2948"/>
      <c r="E179" s="2948"/>
      <c r="F179" s="2948">
        <v>2120</v>
      </c>
      <c r="G179" s="2948"/>
    </row>
    <row r="180" spans="1:7" s="2782" customFormat="1" ht="14.25" customHeight="1">
      <c r="A180" s="2948" t="s">
        <v>29</v>
      </c>
      <c r="B180" s="2948" t="s">
        <v>3057</v>
      </c>
      <c r="C180" s="2948"/>
      <c r="D180" s="2948"/>
      <c r="E180" s="2948"/>
      <c r="F180" s="2948">
        <v>2340</v>
      </c>
      <c r="G180" s="2948"/>
    </row>
    <row r="181" spans="1:7" s="2782" customFormat="1" ht="14.25" customHeight="1">
      <c r="A181" s="2948" t="s">
        <v>29</v>
      </c>
      <c r="B181" s="2948" t="s">
        <v>3058</v>
      </c>
      <c r="C181" s="2948"/>
      <c r="D181" s="2948"/>
      <c r="E181" s="2948"/>
      <c r="F181" s="2948">
        <v>2340</v>
      </c>
      <c r="G181" s="2948"/>
    </row>
    <row r="182" spans="1:7" s="2782" customFormat="1" ht="14.25" customHeight="1">
      <c r="A182" s="2948" t="s">
        <v>29</v>
      </c>
      <c r="B182" s="2948" t="s">
        <v>3059</v>
      </c>
      <c r="C182" s="2948"/>
      <c r="D182" s="2948"/>
      <c r="E182" s="2948"/>
      <c r="F182" s="2948">
        <v>2340</v>
      </c>
      <c r="G182" s="2948"/>
    </row>
    <row r="183" spans="1:7" s="2782" customFormat="1" ht="14.25" customHeight="1">
      <c r="A183" s="2948" t="s">
        <v>29</v>
      </c>
      <c r="B183" s="2948" t="s">
        <v>3060</v>
      </c>
      <c r="C183" s="2948"/>
      <c r="D183" s="2948"/>
      <c r="E183" s="2948"/>
      <c r="F183" s="2948">
        <v>2340</v>
      </c>
      <c r="G183" s="2948"/>
    </row>
    <row r="184" spans="1:7" s="2782" customFormat="1" ht="14.25" customHeight="1">
      <c r="A184" s="2948" t="s">
        <v>29</v>
      </c>
      <c r="B184" s="2948" t="s">
        <v>3061</v>
      </c>
      <c r="C184" s="2948"/>
      <c r="D184" s="2948"/>
      <c r="E184" s="2948"/>
      <c r="F184" s="2948">
        <v>2340</v>
      </c>
      <c r="G184" s="2948"/>
    </row>
    <row r="185" spans="1:7" s="2782" customFormat="1" ht="14.25" customHeight="1">
      <c r="A185" s="2948" t="s">
        <v>29</v>
      </c>
      <c r="B185" s="2948" t="s">
        <v>3062</v>
      </c>
      <c r="C185" s="2948"/>
      <c r="D185" s="2948"/>
      <c r="E185" s="2948"/>
      <c r="F185" s="2948">
        <v>2530</v>
      </c>
      <c r="G185" s="2948"/>
    </row>
    <row r="186" spans="1:7" s="2782" customFormat="1" ht="14.25" customHeight="1">
      <c r="A186" s="2948" t="s">
        <v>29</v>
      </c>
      <c r="B186" s="2948" t="s">
        <v>3063</v>
      </c>
      <c r="C186" s="2948"/>
      <c r="D186" s="2948"/>
      <c r="E186" s="2948"/>
      <c r="F186" s="2948">
        <v>2550</v>
      </c>
      <c r="G186" s="2948"/>
    </row>
    <row r="187" spans="1:7" s="2782" customFormat="1" ht="14.25" customHeight="1">
      <c r="A187" s="2948" t="s">
        <v>29</v>
      </c>
      <c r="B187" s="2948" t="s">
        <v>3064</v>
      </c>
      <c r="C187" s="2948"/>
      <c r="D187" s="2948"/>
      <c r="E187" s="2948"/>
      <c r="F187" s="2948">
        <v>2070</v>
      </c>
      <c r="G187" s="2948"/>
    </row>
    <row r="188" spans="1:7" s="2782" customFormat="1" ht="14.25" customHeight="1">
      <c r="A188" s="2948" t="s">
        <v>29</v>
      </c>
      <c r="B188" s="2948" t="s">
        <v>3065</v>
      </c>
      <c r="C188" s="2948"/>
      <c r="D188" s="2948"/>
      <c r="E188" s="2948"/>
      <c r="F188" s="2948">
        <v>2340</v>
      </c>
      <c r="G188" s="2948"/>
    </row>
    <row r="189" spans="1:7" s="2782" customFormat="1" ht="14.25" customHeight="1" thickBot="1">
      <c r="A189" s="2956" t="s">
        <v>29</v>
      </c>
      <c r="B189" s="2959" t="s">
        <v>3066</v>
      </c>
      <c r="C189" s="2959"/>
      <c r="D189" s="2959"/>
      <c r="E189" s="2959"/>
      <c r="F189" s="2959">
        <v>2050</v>
      </c>
      <c r="G189" s="2959"/>
    </row>
    <row r="190" spans="1:7" s="2782" customFormat="1" ht="14.25" customHeight="1">
      <c r="A190" s="2953" t="s">
        <v>304</v>
      </c>
      <c r="B190" s="2944" t="s">
        <v>3086</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3087</v>
      </c>
      <c r="C199" s="2948">
        <v>8690</v>
      </c>
      <c r="D199" s="2948">
        <v>8630</v>
      </c>
      <c r="E199" s="2948">
        <v>11350</v>
      </c>
      <c r="F199" s="2948">
        <v>1600</v>
      </c>
      <c r="G199" s="2961">
        <v>5450</v>
      </c>
    </row>
    <row r="200" spans="1:7" s="2782" customFormat="1" ht="14.25" customHeight="1">
      <c r="A200" s="2948" t="s">
        <v>304</v>
      </c>
      <c r="B200" s="2948" t="s">
        <v>2898</v>
      </c>
      <c r="C200" s="2948"/>
      <c r="D200" s="2948"/>
      <c r="E200" s="2948"/>
      <c r="F200" s="2948">
        <v>1510</v>
      </c>
      <c r="G200" s="2961"/>
    </row>
    <row r="201" spans="1:7" s="2782" customFormat="1" ht="14.25" customHeight="1">
      <c r="A201" s="2948" t="s">
        <v>304</v>
      </c>
      <c r="B201" s="2948" t="s">
        <v>3088</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3089</v>
      </c>
      <c r="C203" s="2948">
        <v>8130</v>
      </c>
      <c r="D203" s="2948">
        <v>8070</v>
      </c>
      <c r="E203" s="2948">
        <v>10820</v>
      </c>
      <c r="F203" s="2948">
        <v>1690</v>
      </c>
      <c r="G203" s="2961">
        <v>5100</v>
      </c>
    </row>
    <row r="204" spans="1:7" s="2782" customFormat="1" ht="14.25" customHeight="1">
      <c r="A204" s="2948" t="s">
        <v>304</v>
      </c>
      <c r="B204" s="2948" t="s">
        <v>2909</v>
      </c>
      <c r="C204" s="2948">
        <v>8350</v>
      </c>
      <c r="D204" s="2948">
        <v>8290</v>
      </c>
      <c r="E204" s="2948">
        <v>11080</v>
      </c>
      <c r="F204" s="2948">
        <v>1450</v>
      </c>
      <c r="G204" s="2961">
        <v>5240</v>
      </c>
    </row>
    <row r="205" spans="1:7" s="2782" customFormat="1" ht="14.25" customHeight="1">
      <c r="A205" s="2948" t="s">
        <v>304</v>
      </c>
      <c r="B205" s="2948" t="s">
        <v>2911</v>
      </c>
      <c r="C205" s="2948">
        <v>7190</v>
      </c>
      <c r="D205" s="2948">
        <v>7130</v>
      </c>
      <c r="E205" s="2948">
        <v>9490</v>
      </c>
      <c r="F205" s="2948">
        <v>1470</v>
      </c>
      <c r="G205" s="2961">
        <v>4510</v>
      </c>
    </row>
    <row r="206" spans="1:7" s="2782" customFormat="1" ht="14.25" customHeight="1">
      <c r="A206" s="2948" t="s">
        <v>304</v>
      </c>
      <c r="B206" s="2948" t="s">
        <v>2914</v>
      </c>
      <c r="C206" s="2948">
        <v>7000</v>
      </c>
      <c r="D206" s="2948">
        <v>6950</v>
      </c>
      <c r="E206" s="2948">
        <v>9170</v>
      </c>
      <c r="F206" s="2948">
        <v>1400</v>
      </c>
      <c r="G206" s="2961">
        <v>4380</v>
      </c>
    </row>
    <row r="207" spans="1:7" s="2782" customFormat="1" ht="14.25" customHeight="1">
      <c r="A207" s="2948" t="s">
        <v>304</v>
      </c>
      <c r="B207" s="2948" t="s">
        <v>2916</v>
      </c>
      <c r="C207" s="2948">
        <v>6950</v>
      </c>
      <c r="D207" s="2948">
        <v>6900</v>
      </c>
      <c r="E207" s="2948">
        <v>9110</v>
      </c>
      <c r="F207" s="2948">
        <v>1790</v>
      </c>
      <c r="G207" s="2961">
        <v>4360</v>
      </c>
    </row>
    <row r="208" spans="1:7" s="2782" customFormat="1" ht="14.25" customHeight="1">
      <c r="A208" s="2948" t="s">
        <v>304</v>
      </c>
      <c r="B208" s="2948" t="s">
        <v>3090</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2926</v>
      </c>
      <c r="C210" s="2948">
        <v>8710</v>
      </c>
      <c r="D210" s="2948">
        <v>8660</v>
      </c>
      <c r="E210" s="2948">
        <v>11440</v>
      </c>
      <c r="F210" s="2948">
        <v>1740</v>
      </c>
      <c r="G210" s="2961">
        <v>5470</v>
      </c>
    </row>
    <row r="211" spans="1:7" s="2782" customFormat="1" ht="14.25" customHeight="1">
      <c r="A211" s="2948" t="s">
        <v>304</v>
      </c>
      <c r="B211" s="2948" t="s">
        <v>3091</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3092</v>
      </c>
      <c r="C214" s="2948">
        <v>8090</v>
      </c>
      <c r="D214" s="2948">
        <v>8030</v>
      </c>
      <c r="E214" s="2948">
        <v>10780</v>
      </c>
      <c r="F214" s="2948">
        <v>1570</v>
      </c>
      <c r="G214" s="2961">
        <v>5070</v>
      </c>
    </row>
    <row r="215" spans="1:7" s="2782" customFormat="1" ht="14.25" customHeight="1">
      <c r="A215" s="2948" t="s">
        <v>304</v>
      </c>
      <c r="B215" s="2948" t="s">
        <v>3093</v>
      </c>
      <c r="C215" s="2948">
        <v>7950</v>
      </c>
      <c r="D215" s="2948">
        <v>7900</v>
      </c>
      <c r="E215" s="2948">
        <v>10560</v>
      </c>
      <c r="F215" s="2948">
        <v>1630</v>
      </c>
      <c r="G215" s="2961">
        <v>4990</v>
      </c>
    </row>
    <row r="216" spans="1:7" s="2782" customFormat="1" ht="14.25" customHeight="1">
      <c r="A216" s="2948" t="s">
        <v>304</v>
      </c>
      <c r="B216" s="2948" t="s">
        <v>3094</v>
      </c>
      <c r="C216" s="2948">
        <v>8490</v>
      </c>
      <c r="D216" s="2948">
        <v>8440</v>
      </c>
      <c r="E216" s="2948">
        <v>11260</v>
      </c>
      <c r="F216" s="2948">
        <v>1690</v>
      </c>
      <c r="G216" s="2961">
        <v>5330</v>
      </c>
    </row>
    <row r="217" spans="1:7" s="2782" customFormat="1" ht="14.25" customHeight="1">
      <c r="A217" s="2948" t="s">
        <v>304</v>
      </c>
      <c r="B217" s="2948" t="s">
        <v>2959</v>
      </c>
      <c r="C217" s="2948">
        <v>8200</v>
      </c>
      <c r="D217" s="2948">
        <v>8150</v>
      </c>
      <c r="E217" s="2948">
        <v>10910</v>
      </c>
      <c r="F217" s="2948">
        <v>1670</v>
      </c>
      <c r="G217" s="2961">
        <v>5150</v>
      </c>
    </row>
    <row r="218" spans="1:7" s="2782" customFormat="1" ht="14.25" customHeight="1">
      <c r="A218" s="2948" t="s">
        <v>304</v>
      </c>
      <c r="B218" s="2948" t="s">
        <v>3095</v>
      </c>
      <c r="C218" s="2948"/>
      <c r="D218" s="2948"/>
      <c r="E218" s="2948"/>
      <c r="F218" s="2948">
        <v>2040</v>
      </c>
      <c r="G218" s="2961"/>
    </row>
    <row r="219" spans="1:7" s="2782" customFormat="1" ht="14.25" customHeight="1">
      <c r="A219" s="2948" t="s">
        <v>304</v>
      </c>
      <c r="B219" s="2948" t="s">
        <v>3096</v>
      </c>
      <c r="C219" s="2948"/>
      <c r="D219" s="2948"/>
      <c r="E219" s="2948"/>
      <c r="F219" s="2948">
        <v>2040</v>
      </c>
      <c r="G219" s="2961"/>
    </row>
    <row r="220" spans="1:7" s="2782" customFormat="1" ht="14.25" customHeight="1">
      <c r="A220" s="2948" t="s">
        <v>304</v>
      </c>
      <c r="B220" s="2948" t="s">
        <v>3097</v>
      </c>
      <c r="C220" s="2948"/>
      <c r="D220" s="2948"/>
      <c r="E220" s="2948"/>
      <c r="F220" s="2948">
        <v>2040</v>
      </c>
      <c r="G220" s="2961"/>
    </row>
    <row r="221" spans="1:7" s="2782" customFormat="1" ht="14.25" customHeight="1">
      <c r="A221" s="2948" t="s">
        <v>304</v>
      </c>
      <c r="B221" s="2948" t="s">
        <v>3098</v>
      </c>
      <c r="C221" s="2948"/>
      <c r="D221" s="2948"/>
      <c r="E221" s="2948"/>
      <c r="F221" s="2948">
        <v>2040</v>
      </c>
      <c r="G221" s="2961"/>
    </row>
    <row r="222" spans="1:7" s="2782" customFormat="1" ht="14.25" customHeight="1">
      <c r="A222" s="2948" t="s">
        <v>304</v>
      </c>
      <c r="B222" s="2948" t="s">
        <v>3099</v>
      </c>
      <c r="C222" s="2948"/>
      <c r="D222" s="2948"/>
      <c r="E222" s="2948"/>
      <c r="F222" s="2948">
        <v>2040</v>
      </c>
      <c r="G222" s="2961"/>
    </row>
    <row r="223" spans="1:7" s="2782" customFormat="1" ht="14.25" customHeight="1">
      <c r="A223" s="2948" t="s">
        <v>304</v>
      </c>
      <c r="B223" s="2948" t="s">
        <v>3100</v>
      </c>
      <c r="C223" s="2948"/>
      <c r="D223" s="2948"/>
      <c r="E223" s="2948"/>
      <c r="F223" s="2948">
        <v>1930</v>
      </c>
      <c r="G223" s="2961"/>
    </row>
    <row r="224" spans="1:7" s="2782" customFormat="1" ht="14.25" customHeight="1">
      <c r="A224" s="2948" t="s">
        <v>304</v>
      </c>
      <c r="B224" s="2948" t="s">
        <v>3101</v>
      </c>
      <c r="C224" s="2948"/>
      <c r="D224" s="2948"/>
      <c r="E224" s="2948"/>
      <c r="F224" s="2948">
        <v>1930</v>
      </c>
      <c r="G224" s="2961"/>
    </row>
    <row r="225" spans="1:7" s="2782" customFormat="1" ht="14.25" customHeight="1">
      <c r="A225" s="2948" t="s">
        <v>304</v>
      </c>
      <c r="B225" s="2948" t="s">
        <v>3102</v>
      </c>
      <c r="C225" s="2948"/>
      <c r="D225" s="2948"/>
      <c r="E225" s="2948"/>
      <c r="F225" s="2948">
        <v>1930</v>
      </c>
      <c r="G225" s="2961"/>
    </row>
    <row r="226" spans="1:7" s="2782" customFormat="1" ht="14.25" customHeight="1">
      <c r="A226" s="2948" t="s">
        <v>304</v>
      </c>
      <c r="B226" s="2948" t="s">
        <v>3103</v>
      </c>
      <c r="C226" s="2948"/>
      <c r="D226" s="2948"/>
      <c r="E226" s="2948"/>
      <c r="F226" s="2948">
        <v>1700</v>
      </c>
      <c r="G226" s="2961"/>
    </row>
    <row r="227" spans="1:7" s="2782" customFormat="1" ht="14.25" customHeight="1">
      <c r="A227" s="2948" t="s">
        <v>304</v>
      </c>
      <c r="B227" s="2948" t="s">
        <v>3104</v>
      </c>
      <c r="C227" s="2948"/>
      <c r="D227" s="2948"/>
      <c r="E227" s="2948"/>
      <c r="F227" s="2948">
        <v>1520</v>
      </c>
      <c r="G227" s="2961"/>
    </row>
    <row r="228" spans="1:7" s="2782" customFormat="1" ht="14.25" customHeight="1">
      <c r="A228" s="2948" t="s">
        <v>304</v>
      </c>
      <c r="B228" s="2948" t="s">
        <v>3105</v>
      </c>
      <c r="C228" s="2948"/>
      <c r="D228" s="2948"/>
      <c r="E228" s="2948"/>
      <c r="F228" s="2948">
        <v>1520</v>
      </c>
      <c r="G228" s="2961"/>
    </row>
    <row r="229" spans="1:7" s="2782" customFormat="1" ht="14.25" customHeight="1">
      <c r="A229" s="2948" t="s">
        <v>304</v>
      </c>
      <c r="B229" s="2948" t="s">
        <v>3022</v>
      </c>
      <c r="C229" s="2948"/>
      <c r="D229" s="2948"/>
      <c r="E229" s="2948"/>
      <c r="F229" s="2948">
        <v>1520</v>
      </c>
      <c r="G229" s="2961"/>
    </row>
    <row r="230" spans="1:7" s="2782" customFormat="1" ht="14.25" customHeight="1">
      <c r="A230" s="2948" t="s">
        <v>304</v>
      </c>
      <c r="B230" s="2948" t="s">
        <v>3106</v>
      </c>
      <c r="C230" s="2948"/>
      <c r="D230" s="2948"/>
      <c r="E230" s="2948"/>
      <c r="F230" s="2948">
        <v>1820</v>
      </c>
      <c r="G230" s="2961"/>
    </row>
    <row r="231" spans="1:7" s="2782" customFormat="1" ht="14.25" customHeight="1">
      <c r="A231" s="2948" t="s">
        <v>304</v>
      </c>
      <c r="B231" s="2948" t="s">
        <v>3107</v>
      </c>
      <c r="C231" s="2948"/>
      <c r="D231" s="2948"/>
      <c r="E231" s="2948"/>
      <c r="F231" s="2948">
        <v>1760</v>
      </c>
      <c r="G231" s="2961"/>
    </row>
    <row r="232" spans="1:7" s="2782" customFormat="1" ht="14.25" customHeight="1">
      <c r="A232" s="2948" t="s">
        <v>304</v>
      </c>
      <c r="B232" s="2948" t="s">
        <v>3108</v>
      </c>
      <c r="C232" s="2948"/>
      <c r="D232" s="2948"/>
      <c r="E232" s="2948"/>
      <c r="F232" s="2948">
        <v>1840</v>
      </c>
      <c r="G232" s="2961"/>
    </row>
    <row r="233" spans="1:7" s="2782" customFormat="1" ht="14.25" customHeight="1" thickBot="1">
      <c r="A233" s="2962" t="s">
        <v>304</v>
      </c>
      <c r="B233" s="2955" t="s">
        <v>3039</v>
      </c>
      <c r="C233" s="2955"/>
      <c r="D233" s="2955"/>
      <c r="E233" s="2955"/>
      <c r="F233" s="2955">
        <v>1770</v>
      </c>
      <c r="G233" s="2963"/>
    </row>
    <row r="234" spans="1:7" s="2782" customFormat="1" ht="14.25" customHeight="1">
      <c r="A234" s="2953" t="s">
        <v>305</v>
      </c>
      <c r="B234" s="2944" t="s">
        <v>3109</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2880</v>
      </c>
      <c r="C238" s="2948">
        <v>6920</v>
      </c>
      <c r="D238" s="2948">
        <v>6890</v>
      </c>
      <c r="E238" s="2948">
        <v>8640</v>
      </c>
      <c r="F238" s="2948">
        <v>1310</v>
      </c>
      <c r="G238" s="2948">
        <v>4230</v>
      </c>
    </row>
    <row r="239" spans="1:7" s="2782" customFormat="1" ht="14.25" customHeight="1">
      <c r="A239" s="2948" t="s">
        <v>305</v>
      </c>
      <c r="B239" s="2948" t="s">
        <v>3110</v>
      </c>
      <c r="C239" s="2948">
        <v>6780</v>
      </c>
      <c r="D239" s="2948">
        <v>6750</v>
      </c>
      <c r="E239" s="2948">
        <v>8440</v>
      </c>
      <c r="F239" s="2948">
        <v>1160</v>
      </c>
      <c r="G239" s="2948">
        <v>4140</v>
      </c>
    </row>
    <row r="240" spans="1:7" s="2782" customFormat="1" ht="14.25" customHeight="1">
      <c r="A240" s="2948" t="s">
        <v>305</v>
      </c>
      <c r="B240" s="2948" t="s">
        <v>3111</v>
      </c>
      <c r="C240" s="2948">
        <v>5420</v>
      </c>
      <c r="D240" s="2948">
        <v>5380</v>
      </c>
      <c r="E240" s="2948">
        <v>6640</v>
      </c>
      <c r="F240" s="2948">
        <v>1020</v>
      </c>
      <c r="G240" s="2948">
        <v>3300</v>
      </c>
    </row>
    <row r="241" spans="1:7" s="2782" customFormat="1" ht="14.25" customHeight="1">
      <c r="A241" s="2948" t="s">
        <v>305</v>
      </c>
      <c r="B241" s="2948" t="s">
        <v>3112</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3113</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3114</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3115</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3116</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3117</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2942</v>
      </c>
      <c r="C258" s="2948">
        <v>6190</v>
      </c>
      <c r="D258" s="2948">
        <v>6160</v>
      </c>
      <c r="E258" s="2948">
        <v>7680</v>
      </c>
      <c r="F258" s="2948">
        <v>1170</v>
      </c>
      <c r="G258" s="2948">
        <v>3780</v>
      </c>
    </row>
    <row r="259" spans="1:7" s="2782" customFormat="1" ht="14.25" customHeight="1">
      <c r="A259" s="2948" t="s">
        <v>305</v>
      </c>
      <c r="B259" s="2948" t="s">
        <v>3118</v>
      </c>
      <c r="C259" s="2948">
        <v>7610</v>
      </c>
      <c r="D259" s="2948">
        <v>7570</v>
      </c>
      <c r="E259" s="2948">
        <v>9350</v>
      </c>
      <c r="F259" s="2948">
        <v>1350</v>
      </c>
      <c r="G259" s="2948">
        <v>4650</v>
      </c>
    </row>
    <row r="260" spans="1:7" s="2782" customFormat="1" ht="14.25" customHeight="1">
      <c r="A260" s="2948" t="s">
        <v>305</v>
      </c>
      <c r="B260" s="2948" t="s">
        <v>3119</v>
      </c>
      <c r="C260" s="2948">
        <v>6920</v>
      </c>
      <c r="D260" s="2948">
        <v>6880</v>
      </c>
      <c r="E260" s="2948">
        <v>8380</v>
      </c>
      <c r="F260" s="2948">
        <v>1160</v>
      </c>
      <c r="G260" s="2948">
        <v>4220</v>
      </c>
    </row>
    <row r="261" spans="1:7" s="2782" customFormat="1" ht="14.25" customHeight="1">
      <c r="A261" s="2948" t="s">
        <v>305</v>
      </c>
      <c r="B261" s="2948" t="s">
        <v>3120</v>
      </c>
      <c r="C261" s="2948">
        <v>6850</v>
      </c>
      <c r="D261" s="2948">
        <v>6810</v>
      </c>
      <c r="E261" s="2948">
        <v>8290</v>
      </c>
      <c r="F261" s="2948">
        <v>1130</v>
      </c>
      <c r="G261" s="2948">
        <v>4180</v>
      </c>
    </row>
    <row r="262" spans="1:7" s="2782" customFormat="1" ht="14.25" customHeight="1">
      <c r="A262" s="2948" t="s">
        <v>305</v>
      </c>
      <c r="B262" s="2948" t="s">
        <v>3121</v>
      </c>
      <c r="C262" s="2948">
        <v>5860</v>
      </c>
      <c r="D262" s="2948">
        <v>5820</v>
      </c>
      <c r="E262" s="2948">
        <v>7640</v>
      </c>
      <c r="F262" s="2948">
        <v>1070</v>
      </c>
      <c r="G262" s="2948">
        <v>3570</v>
      </c>
    </row>
    <row r="263" spans="1:7" s="2782" customFormat="1" ht="14.25" customHeight="1">
      <c r="A263" s="2948" t="s">
        <v>305</v>
      </c>
      <c r="B263" s="2948" t="s">
        <v>3122</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3123</v>
      </c>
      <c r="C265" s="2948"/>
      <c r="D265" s="2948"/>
      <c r="E265" s="2948"/>
      <c r="F265" s="2948">
        <v>1500</v>
      </c>
      <c r="G265" s="2948"/>
    </row>
    <row r="266" spans="1:7" s="2782" customFormat="1" ht="14.25" customHeight="1">
      <c r="A266" s="2948" t="s">
        <v>305</v>
      </c>
      <c r="B266" s="2948" t="s">
        <v>3124</v>
      </c>
      <c r="C266" s="2948"/>
      <c r="D266" s="2948"/>
      <c r="E266" s="2948"/>
      <c r="F266" s="2948">
        <v>1500</v>
      </c>
      <c r="G266" s="2948"/>
    </row>
    <row r="267" spans="1:7" s="2782" customFormat="1" ht="14.25" customHeight="1">
      <c r="A267" s="2948" t="s">
        <v>305</v>
      </c>
      <c r="B267" s="2948" t="s">
        <v>3125</v>
      </c>
      <c r="C267" s="2948"/>
      <c r="D267" s="2948"/>
      <c r="E267" s="2948"/>
      <c r="F267" s="2948">
        <v>1500</v>
      </c>
      <c r="G267" s="2948"/>
    </row>
    <row r="268" spans="1:7" s="2782" customFormat="1" ht="14.25" customHeight="1">
      <c r="A268" s="2948" t="s">
        <v>305</v>
      </c>
      <c r="B268" s="2948" t="s">
        <v>3126</v>
      </c>
      <c r="C268" s="2948"/>
      <c r="D268" s="2948"/>
      <c r="E268" s="2948"/>
      <c r="F268" s="2948">
        <v>1290</v>
      </c>
      <c r="G268" s="2948"/>
    </row>
    <row r="269" spans="1:7" s="2782" customFormat="1" ht="14.25" customHeight="1">
      <c r="A269" s="2948" t="s">
        <v>305</v>
      </c>
      <c r="B269" s="2948" t="s">
        <v>3127</v>
      </c>
      <c r="C269" s="2948"/>
      <c r="D269" s="2948"/>
      <c r="E269" s="2948"/>
      <c r="F269" s="2948">
        <v>1150</v>
      </c>
      <c r="G269" s="2948"/>
    </row>
    <row r="270" spans="1:7" s="2782" customFormat="1" ht="14.25" customHeight="1">
      <c r="A270" s="2948" t="s">
        <v>305</v>
      </c>
      <c r="B270" s="2948" t="s">
        <v>3128</v>
      </c>
      <c r="C270" s="2948"/>
      <c r="D270" s="2948"/>
      <c r="E270" s="2948"/>
      <c r="F270" s="2948">
        <v>1380</v>
      </c>
      <c r="G270" s="2948"/>
    </row>
    <row r="271" spans="1:7" s="2782" customFormat="1" ht="14.25" customHeight="1">
      <c r="A271" s="2948" t="s">
        <v>305</v>
      </c>
      <c r="B271" s="2948" t="s">
        <v>3129</v>
      </c>
      <c r="C271" s="2948"/>
      <c r="D271" s="2948"/>
      <c r="E271" s="2948"/>
      <c r="F271" s="2948">
        <v>1460</v>
      </c>
      <c r="G271" s="2948"/>
    </row>
    <row r="272" spans="1:7" s="2782" customFormat="1" ht="14.25" customHeight="1">
      <c r="A272" s="2948" t="s">
        <v>305</v>
      </c>
      <c r="B272" s="2948" t="s">
        <v>3130</v>
      </c>
      <c r="C272" s="2948"/>
      <c r="D272" s="2948"/>
      <c r="E272" s="2948"/>
      <c r="F272" s="2948">
        <v>1460</v>
      </c>
      <c r="G272" s="2948"/>
    </row>
    <row r="273" spans="1:7" s="2782" customFormat="1" ht="14.25" customHeight="1">
      <c r="A273" s="2948" t="s">
        <v>305</v>
      </c>
      <c r="B273" s="2948" t="s">
        <v>3023</v>
      </c>
      <c r="C273" s="2948"/>
      <c r="D273" s="2948"/>
      <c r="E273" s="2948"/>
      <c r="F273" s="2948">
        <v>1490</v>
      </c>
      <c r="G273" s="2948"/>
    </row>
    <row r="274" spans="1:7" s="2782" customFormat="1" ht="14.25" customHeight="1">
      <c r="A274" s="2948" t="s">
        <v>305</v>
      </c>
      <c r="B274" s="2948" t="s">
        <v>3131</v>
      </c>
      <c r="C274" s="2948"/>
      <c r="D274" s="2948"/>
      <c r="E274" s="2948"/>
      <c r="F274" s="2948">
        <v>1490</v>
      </c>
      <c r="G274" s="2948"/>
    </row>
    <row r="275" spans="1:7" s="2782" customFormat="1" ht="14.25" customHeight="1">
      <c r="A275" s="2948" t="s">
        <v>305</v>
      </c>
      <c r="B275" s="2948" t="s">
        <v>3132</v>
      </c>
      <c r="C275" s="2948"/>
      <c r="D275" s="2948"/>
      <c r="E275" s="2948"/>
      <c r="F275" s="2948">
        <v>1220</v>
      </c>
      <c r="G275" s="2948"/>
    </row>
    <row r="276" spans="1:7" s="2782" customFormat="1" ht="14.25" customHeight="1" thickBot="1">
      <c r="A276" s="2956" t="s">
        <v>305</v>
      </c>
      <c r="B276" s="2958" t="s">
        <v>3133</v>
      </c>
      <c r="C276" s="2959"/>
      <c r="D276" s="2959"/>
      <c r="E276" s="2959"/>
      <c r="F276" s="2959">
        <v>1380</v>
      </c>
      <c r="G276" s="2959"/>
    </row>
    <row r="277" spans="1:7" s="2782" customFormat="1" ht="14.25" customHeight="1">
      <c r="A277" s="2953" t="s">
        <v>306</v>
      </c>
      <c r="B277" s="2944" t="s">
        <v>3134</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3135</v>
      </c>
      <c r="C279" s="2948">
        <v>4760</v>
      </c>
      <c r="D279" s="2948">
        <v>4720</v>
      </c>
      <c r="E279" s="2948">
        <v>5540</v>
      </c>
      <c r="F279" s="2948">
        <v>810</v>
      </c>
      <c r="G279" s="2961">
        <v>2850</v>
      </c>
    </row>
    <row r="280" spans="1:7" s="2782" customFormat="1" ht="14.25" customHeight="1">
      <c r="A280" s="2948" t="s">
        <v>306</v>
      </c>
      <c r="B280" s="2948" t="s">
        <v>3136</v>
      </c>
      <c r="C280" s="2948">
        <v>4010</v>
      </c>
      <c r="D280" s="2948">
        <v>3950</v>
      </c>
      <c r="E280" s="2948">
        <v>4710</v>
      </c>
      <c r="F280" s="2948">
        <v>800</v>
      </c>
      <c r="G280" s="2961">
        <v>2390</v>
      </c>
    </row>
    <row r="281" spans="1:7" s="2782" customFormat="1" ht="14.25" customHeight="1">
      <c r="A281" s="2948" t="s">
        <v>306</v>
      </c>
      <c r="B281" s="2948" t="s">
        <v>3137</v>
      </c>
      <c r="C281" s="2948">
        <v>4480</v>
      </c>
      <c r="D281" s="2948">
        <v>4420</v>
      </c>
      <c r="E281" s="2948">
        <v>5230</v>
      </c>
      <c r="F281" s="2948">
        <v>870</v>
      </c>
      <c r="G281" s="2961">
        <v>2660</v>
      </c>
    </row>
    <row r="282" spans="1:7" s="2782" customFormat="1" ht="14.25" customHeight="1">
      <c r="A282" s="2948" t="s">
        <v>306</v>
      </c>
      <c r="B282" s="2948" t="s">
        <v>3138</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3139</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3140</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2915</v>
      </c>
      <c r="C293" s="2948">
        <v>5320</v>
      </c>
      <c r="D293" s="2948">
        <v>5270</v>
      </c>
      <c r="E293" s="2948">
        <v>6160</v>
      </c>
      <c r="F293" s="2948">
        <v>990</v>
      </c>
      <c r="G293" s="2961">
        <v>3170</v>
      </c>
    </row>
    <row r="294" spans="1:7" s="2782" customFormat="1" ht="14.25" customHeight="1">
      <c r="A294" s="2948" t="s">
        <v>306</v>
      </c>
      <c r="B294" s="2948" t="s">
        <v>3141</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2934</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3142</v>
      </c>
      <c r="C302" s="2948">
        <v>5520</v>
      </c>
      <c r="D302" s="2948">
        <v>5470</v>
      </c>
      <c r="E302" s="2948">
        <v>6410</v>
      </c>
      <c r="F302" s="2948">
        <v>950</v>
      </c>
      <c r="G302" s="2961">
        <v>3300</v>
      </c>
    </row>
    <row r="303" spans="1:7" s="2782" customFormat="1" ht="14.25" customHeight="1">
      <c r="A303" s="2948" t="s">
        <v>306</v>
      </c>
      <c r="B303" s="2948" t="s">
        <v>2954</v>
      </c>
      <c r="C303" s="2948">
        <v>5630</v>
      </c>
      <c r="D303" s="2948">
        <v>5590</v>
      </c>
      <c r="E303" s="2948">
        <v>6550</v>
      </c>
      <c r="F303" s="2948">
        <v>1010</v>
      </c>
      <c r="G303" s="2961">
        <v>3370</v>
      </c>
    </row>
    <row r="304" spans="1:7" s="2782" customFormat="1" ht="14.25" customHeight="1">
      <c r="A304" s="2948" t="s">
        <v>306</v>
      </c>
      <c r="B304" s="2948" t="s">
        <v>2961</v>
      </c>
      <c r="C304" s="2948">
        <v>5680</v>
      </c>
      <c r="D304" s="2948">
        <v>5620</v>
      </c>
      <c r="E304" s="2948">
        <v>6620</v>
      </c>
      <c r="F304" s="2948">
        <v>1050</v>
      </c>
      <c r="G304" s="2961">
        <v>3390</v>
      </c>
    </row>
    <row r="305" spans="1:7" s="2782" customFormat="1" ht="14.25" customHeight="1">
      <c r="A305" s="2948" t="s">
        <v>306</v>
      </c>
      <c r="B305" s="2948" t="s">
        <v>2967</v>
      </c>
      <c r="C305" s="2948">
        <v>5590</v>
      </c>
      <c r="D305" s="2948">
        <v>5530</v>
      </c>
      <c r="E305" s="2948">
        <v>6460</v>
      </c>
      <c r="F305" s="2948">
        <v>900</v>
      </c>
      <c r="G305" s="2961">
        <v>3340</v>
      </c>
    </row>
    <row r="306" spans="1:7" s="2782" customFormat="1" ht="14.25" customHeight="1">
      <c r="A306" s="2948" t="s">
        <v>306</v>
      </c>
      <c r="B306" s="2948" t="s">
        <v>3143</v>
      </c>
      <c r="C306" s="2948">
        <v>5560</v>
      </c>
      <c r="D306" s="2948">
        <v>5510</v>
      </c>
      <c r="E306" s="2948">
        <v>6440</v>
      </c>
      <c r="F306" s="2948">
        <v>900</v>
      </c>
      <c r="G306" s="2961">
        <v>3320</v>
      </c>
    </row>
    <row r="307" spans="1:7" s="2782" customFormat="1" ht="14.25" customHeight="1">
      <c r="A307" s="2948" t="s">
        <v>306</v>
      </c>
      <c r="B307" s="2948" t="s">
        <v>2979</v>
      </c>
      <c r="C307" s="2948">
        <v>5650</v>
      </c>
      <c r="D307" s="2948">
        <v>5600</v>
      </c>
      <c r="E307" s="2948">
        <v>6590</v>
      </c>
      <c r="F307" s="2948">
        <v>930</v>
      </c>
      <c r="G307" s="2961">
        <v>3380</v>
      </c>
    </row>
    <row r="308" spans="1:7" s="2782" customFormat="1" ht="14.25" customHeight="1">
      <c r="A308" s="2948" t="s">
        <v>306</v>
      </c>
      <c r="B308" s="2948" t="s">
        <v>3144</v>
      </c>
      <c r="C308" s="2948">
        <v>5620</v>
      </c>
      <c r="D308" s="2948">
        <v>5580</v>
      </c>
      <c r="E308" s="2948">
        <v>6540</v>
      </c>
      <c r="F308" s="2948">
        <v>910</v>
      </c>
      <c r="G308" s="2961">
        <v>3370</v>
      </c>
    </row>
    <row r="309" spans="1:7" s="2782" customFormat="1" ht="14.25" customHeight="1">
      <c r="A309" s="2948" t="s">
        <v>306</v>
      </c>
      <c r="B309" s="2948" t="s">
        <v>3145</v>
      </c>
      <c r="C309" s="2948">
        <v>5060</v>
      </c>
      <c r="D309" s="2948">
        <v>5020</v>
      </c>
      <c r="E309" s="2948">
        <v>6370</v>
      </c>
      <c r="F309" s="2948">
        <v>800</v>
      </c>
      <c r="G309" s="2961">
        <v>3020</v>
      </c>
    </row>
    <row r="310" spans="1:7" s="2782" customFormat="1" ht="14.25" customHeight="1">
      <c r="A310" s="2948" t="s">
        <v>306</v>
      </c>
      <c r="B310" s="2948" t="s">
        <v>2994</v>
      </c>
      <c r="C310" s="2948">
        <v>5150</v>
      </c>
      <c r="D310" s="2948">
        <v>5110</v>
      </c>
      <c r="E310" s="2948">
        <v>6500</v>
      </c>
      <c r="F310" s="2948">
        <v>880</v>
      </c>
      <c r="G310" s="2961">
        <v>3080</v>
      </c>
    </row>
    <row r="311" spans="1:7" s="2782" customFormat="1" ht="14.25" customHeight="1">
      <c r="A311" s="2948" t="s">
        <v>306</v>
      </c>
      <c r="B311" s="2948" t="s">
        <v>3146</v>
      </c>
      <c r="C311" s="2948">
        <v>4750</v>
      </c>
      <c r="D311" s="2948">
        <v>4710</v>
      </c>
      <c r="E311" s="2948">
        <v>5510</v>
      </c>
      <c r="F311" s="2948">
        <v>880</v>
      </c>
      <c r="G311" s="2961">
        <v>2840</v>
      </c>
    </row>
    <row r="312" spans="1:7" s="2782" customFormat="1" ht="14.25" customHeight="1">
      <c r="A312" s="2948" t="s">
        <v>306</v>
      </c>
      <c r="B312" s="2948" t="s">
        <v>3004</v>
      </c>
      <c r="C312" s="2948">
        <v>4690</v>
      </c>
      <c r="D312" s="2948">
        <v>4640</v>
      </c>
      <c r="E312" s="2948">
        <v>5420</v>
      </c>
      <c r="F312" s="2948">
        <v>800</v>
      </c>
      <c r="G312" s="2961">
        <v>2800</v>
      </c>
    </row>
    <row r="313" spans="1:7" s="2782" customFormat="1" ht="14.25" customHeight="1">
      <c r="A313" s="2948" t="s">
        <v>306</v>
      </c>
      <c r="B313" s="2948" t="s">
        <v>3009</v>
      </c>
      <c r="C313" s="2948">
        <v>4810</v>
      </c>
      <c r="D313" s="2948">
        <v>4760</v>
      </c>
      <c r="E313" s="2948">
        <v>5550</v>
      </c>
      <c r="F313" s="2948">
        <v>920</v>
      </c>
      <c r="G313" s="2961">
        <v>2870</v>
      </c>
    </row>
    <row r="314" spans="1:7" s="2782" customFormat="1" ht="14.25" customHeight="1">
      <c r="A314" s="2948" t="s">
        <v>306</v>
      </c>
      <c r="B314" s="2948" t="s">
        <v>3147</v>
      </c>
      <c r="C314" s="2948"/>
      <c r="D314" s="2948"/>
      <c r="E314" s="2948"/>
      <c r="F314" s="2948">
        <v>1020</v>
      </c>
      <c r="G314" s="2961"/>
    </row>
    <row r="315" spans="1:7" s="2782" customFormat="1" ht="14.25" customHeight="1">
      <c r="A315" s="2948" t="s">
        <v>306</v>
      </c>
      <c r="B315" s="2948" t="s">
        <v>3148</v>
      </c>
      <c r="C315" s="2948"/>
      <c r="D315" s="2948"/>
      <c r="E315" s="2948"/>
      <c r="F315" s="2948">
        <v>1050</v>
      </c>
      <c r="G315" s="2961"/>
    </row>
    <row r="316" spans="1:7" s="2782" customFormat="1" ht="14.25" customHeight="1">
      <c r="A316" s="2948" t="s">
        <v>306</v>
      </c>
      <c r="B316" s="2948" t="s">
        <v>3024</v>
      </c>
      <c r="C316" s="2948"/>
      <c r="D316" s="2948"/>
      <c r="E316" s="2948"/>
      <c r="F316" s="2948">
        <v>900</v>
      </c>
      <c r="G316" s="2961"/>
    </row>
    <row r="317" spans="1:7" s="2782" customFormat="1" ht="14.25" customHeight="1">
      <c r="A317" s="2948" t="s">
        <v>306</v>
      </c>
      <c r="B317" s="2948" t="s">
        <v>3149</v>
      </c>
      <c r="C317" s="2948"/>
      <c r="D317" s="2948"/>
      <c r="E317" s="2948"/>
      <c r="F317" s="2948">
        <v>920</v>
      </c>
      <c r="G317" s="2961"/>
    </row>
    <row r="318" spans="1:7" s="2782" customFormat="1" ht="14.25" customHeight="1">
      <c r="A318" s="2948" t="s">
        <v>306</v>
      </c>
      <c r="B318" s="2948" t="s">
        <v>3150</v>
      </c>
      <c r="C318" s="2948"/>
      <c r="D318" s="2948"/>
      <c r="E318" s="2948"/>
      <c r="F318" s="2948">
        <v>1080</v>
      </c>
      <c r="G318" s="2961"/>
    </row>
    <row r="319" spans="1:7" s="2782" customFormat="1" ht="14.25" customHeight="1">
      <c r="A319" s="2948" t="s">
        <v>306</v>
      </c>
      <c r="B319" s="2948" t="s">
        <v>3037</v>
      </c>
      <c r="C319" s="2948"/>
      <c r="D319" s="2948"/>
      <c r="E319" s="2948"/>
      <c r="F319" s="2948">
        <v>1020</v>
      </c>
      <c r="G319" s="2961"/>
    </row>
    <row r="320" spans="1:7" s="2782" customFormat="1" ht="14.25" customHeight="1">
      <c r="A320" s="2948" t="s">
        <v>306</v>
      </c>
      <c r="B320" s="2948" t="s">
        <v>3040</v>
      </c>
      <c r="C320" s="2948"/>
      <c r="D320" s="2948"/>
      <c r="E320" s="2948"/>
      <c r="F320" s="2948">
        <v>1050</v>
      </c>
      <c r="G320" s="2961"/>
    </row>
    <row r="321" spans="1:7" s="2782" customFormat="1" ht="14.25" customHeight="1">
      <c r="A321" s="2948" t="s">
        <v>306</v>
      </c>
      <c r="B321" s="2948" t="s">
        <v>3042</v>
      </c>
      <c r="C321" s="2948"/>
      <c r="D321" s="2948"/>
      <c r="E321" s="2948"/>
      <c r="F321" s="2948">
        <v>960</v>
      </c>
      <c r="G321" s="2961"/>
    </row>
    <row r="322" spans="1:7" s="2782" customFormat="1" ht="14.25" customHeight="1">
      <c r="A322" s="2948" t="s">
        <v>306</v>
      </c>
      <c r="B322" s="2948" t="s">
        <v>3044</v>
      </c>
      <c r="C322" s="2948"/>
      <c r="D322" s="2948"/>
      <c r="E322" s="2948"/>
      <c r="F322" s="2948">
        <v>960</v>
      </c>
      <c r="G322" s="2961"/>
    </row>
    <row r="323" spans="1:7" s="2782" customFormat="1" ht="14.25" customHeight="1">
      <c r="A323" s="2948" t="s">
        <v>306</v>
      </c>
      <c r="B323" s="2948" t="s">
        <v>3046</v>
      </c>
      <c r="C323" s="2948"/>
      <c r="D323" s="2948"/>
      <c r="E323" s="2948"/>
      <c r="F323" s="2948">
        <v>880</v>
      </c>
      <c r="G323" s="2961"/>
    </row>
    <row r="324" spans="1:7" s="2782" customFormat="1" ht="14.25" customHeight="1">
      <c r="A324" s="2948" t="s">
        <v>306</v>
      </c>
      <c r="B324" s="2948" t="s">
        <v>3048</v>
      </c>
      <c r="C324" s="2948"/>
      <c r="D324" s="2948"/>
      <c r="E324" s="2948"/>
      <c r="F324" s="2948">
        <v>930</v>
      </c>
      <c r="G324" s="2961"/>
    </row>
    <row r="325" spans="1:7" s="2782" customFormat="1" ht="14.25" customHeight="1">
      <c r="A325" s="2948" t="s">
        <v>306</v>
      </c>
      <c r="B325" s="2949" t="s">
        <v>3050</v>
      </c>
      <c r="C325" s="2948"/>
      <c r="D325" s="2948"/>
      <c r="E325" s="2948"/>
      <c r="F325" s="2948">
        <v>900</v>
      </c>
      <c r="G325" s="2961"/>
    </row>
    <row r="326" spans="1:7" s="2782" customFormat="1" ht="14.25" customHeight="1" thickBot="1">
      <c r="A326" s="2962" t="s">
        <v>306</v>
      </c>
      <c r="B326" s="2955" t="s">
        <v>3052</v>
      </c>
      <c r="C326" s="2955"/>
      <c r="D326" s="2955"/>
      <c r="E326" s="2955"/>
      <c r="F326" s="2955">
        <v>790</v>
      </c>
      <c r="G326" s="2963"/>
    </row>
    <row r="327" spans="1:7" s="2782" customFormat="1" ht="14.25" customHeight="1">
      <c r="A327" s="2953" t="s">
        <v>307</v>
      </c>
      <c r="B327" s="2944" t="s">
        <v>3151</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3152</v>
      </c>
      <c r="C329" s="2948">
        <v>2730</v>
      </c>
      <c r="D329" s="2948">
        <v>2690</v>
      </c>
      <c r="E329" s="2948">
        <v>3100</v>
      </c>
      <c r="F329" s="2948">
        <v>660</v>
      </c>
      <c r="G329" s="2948">
        <v>1610</v>
      </c>
    </row>
    <row r="330" spans="1:7" s="2782" customFormat="1" ht="14.25" customHeight="1">
      <c r="A330" s="2948" t="s">
        <v>307</v>
      </c>
      <c r="B330" s="2948" t="s">
        <v>3153</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2886</v>
      </c>
      <c r="C332" s="2948">
        <v>3520</v>
      </c>
      <c r="D332" s="2948">
        <v>3480</v>
      </c>
      <c r="E332" s="2948">
        <v>3830</v>
      </c>
      <c r="F332" s="2948">
        <v>720</v>
      </c>
      <c r="G332" s="2948">
        <v>2090</v>
      </c>
    </row>
    <row r="333" spans="1:7" s="2782" customFormat="1" ht="14.25" customHeight="1">
      <c r="A333" s="2948" t="s">
        <v>307</v>
      </c>
      <c r="B333" s="2948" t="s">
        <v>3154</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2896</v>
      </c>
      <c r="C336" s="2948">
        <v>3570</v>
      </c>
      <c r="D336" s="2948">
        <v>3530</v>
      </c>
      <c r="E336" s="2948">
        <v>3880</v>
      </c>
      <c r="F336" s="2948">
        <v>770</v>
      </c>
      <c r="G336" s="2948">
        <v>2110</v>
      </c>
    </row>
    <row r="337" spans="1:10" s="2782" customFormat="1" ht="14.25" customHeight="1">
      <c r="A337" s="2948" t="s">
        <v>307</v>
      </c>
      <c r="B337" s="2948" t="s">
        <v>3155</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3156</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3157</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2921</v>
      </c>
      <c r="C345" s="2948">
        <v>3190</v>
      </c>
      <c r="D345" s="2948">
        <v>3140</v>
      </c>
      <c r="E345" s="2948">
        <v>3450</v>
      </c>
      <c r="F345" s="2948">
        <v>720</v>
      </c>
      <c r="G345" s="2948">
        <v>1880</v>
      </c>
      <c r="J345" s="2782"/>
    </row>
    <row r="346" spans="1:10">
      <c r="A346" s="2948" t="s">
        <v>307</v>
      </c>
      <c r="B346" s="2948" t="s">
        <v>3158</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2930</v>
      </c>
      <c r="C348" s="2948">
        <v>4000</v>
      </c>
      <c r="D348" s="2948">
        <v>3950</v>
      </c>
      <c r="E348" s="2948">
        <v>4430</v>
      </c>
      <c r="F348" s="2948">
        <v>760</v>
      </c>
      <c r="G348" s="2948">
        <v>2360</v>
      </c>
      <c r="J348" s="2782"/>
    </row>
    <row r="349" spans="1:10">
      <c r="A349" s="2948" t="s">
        <v>307</v>
      </c>
      <c r="B349" s="2948" t="s">
        <v>2935</v>
      </c>
      <c r="C349" s="2948">
        <v>3820</v>
      </c>
      <c r="D349" s="2948">
        <v>3780</v>
      </c>
      <c r="E349" s="2948">
        <v>4170</v>
      </c>
      <c r="F349" s="2948">
        <v>710</v>
      </c>
      <c r="G349" s="2948">
        <v>2260</v>
      </c>
      <c r="J349" s="2782"/>
    </row>
    <row r="350" spans="1:10">
      <c r="A350" s="2948" t="s">
        <v>307</v>
      </c>
      <c r="B350" s="2948" t="s">
        <v>3159</v>
      </c>
      <c r="C350" s="2948">
        <v>3760</v>
      </c>
      <c r="D350" s="2948">
        <v>3730</v>
      </c>
      <c r="E350" s="2948">
        <v>4100</v>
      </c>
      <c r="F350" s="2948">
        <v>800</v>
      </c>
      <c r="G350" s="2948">
        <v>2230</v>
      </c>
      <c r="J350" s="2782"/>
    </row>
    <row r="351" spans="1:10">
      <c r="A351" s="2948" t="s">
        <v>307</v>
      </c>
      <c r="B351" s="2948" t="s">
        <v>2943</v>
      </c>
      <c r="C351" s="2948">
        <v>3610</v>
      </c>
      <c r="D351" s="2948">
        <v>3580</v>
      </c>
      <c r="E351" s="2948">
        <v>3930</v>
      </c>
      <c r="F351" s="2948">
        <v>700</v>
      </c>
      <c r="G351" s="2948">
        <v>2140</v>
      </c>
      <c r="J351" s="2782"/>
    </row>
    <row r="352" spans="1:10">
      <c r="A352" s="2948" t="s">
        <v>307</v>
      </c>
      <c r="B352" s="2948" t="s">
        <v>2948</v>
      </c>
      <c r="C352" s="2948">
        <v>3670</v>
      </c>
      <c r="D352" s="2948">
        <v>3630</v>
      </c>
      <c r="E352" s="2948">
        <v>4000</v>
      </c>
      <c r="F352" s="2948">
        <v>750</v>
      </c>
      <c r="G352" s="2948">
        <v>2180</v>
      </c>
    </row>
    <row r="353" spans="1:7" s="2783" customFormat="1">
      <c r="A353" s="2948" t="s">
        <v>307</v>
      </c>
      <c r="B353" s="2948" t="s">
        <v>3160</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2968</v>
      </c>
      <c r="C355" s="2948">
        <v>3650</v>
      </c>
      <c r="D355" s="2948">
        <v>3610</v>
      </c>
      <c r="E355" s="2948">
        <v>4200</v>
      </c>
      <c r="F355" s="2948">
        <v>640</v>
      </c>
      <c r="G355" s="2948">
        <v>2160</v>
      </c>
    </row>
    <row r="356" spans="1:7" s="2783" customFormat="1">
      <c r="A356" s="2948" t="s">
        <v>307</v>
      </c>
      <c r="B356" s="2948" t="s">
        <v>2975</v>
      </c>
      <c r="C356" s="2948">
        <v>3260</v>
      </c>
      <c r="D356" s="2948">
        <v>3230</v>
      </c>
      <c r="E356" s="2948">
        <v>3740</v>
      </c>
      <c r="F356" s="2948">
        <v>600</v>
      </c>
      <c r="G356" s="2948">
        <v>1930</v>
      </c>
    </row>
    <row r="357" spans="1:7" s="2783" customFormat="1" ht="11.4" thickBot="1">
      <c r="A357" s="2956" t="s">
        <v>307</v>
      </c>
      <c r="B357" s="2959" t="s">
        <v>3161</v>
      </c>
      <c r="C357" s="2959">
        <v>3690</v>
      </c>
      <c r="D357" s="2959">
        <v>3650</v>
      </c>
      <c r="E357" s="2959">
        <v>4020</v>
      </c>
      <c r="F357" s="2959">
        <v>700</v>
      </c>
      <c r="G357" s="2959">
        <v>2190</v>
      </c>
    </row>
    <row r="358" spans="1:7" s="2783" customFormat="1">
      <c r="A358" s="2953" t="s">
        <v>3162</v>
      </c>
      <c r="B358" s="2944" t="s">
        <v>3163</v>
      </c>
      <c r="C358" s="2944">
        <v>2080</v>
      </c>
      <c r="D358" s="2944">
        <v>2040</v>
      </c>
      <c r="E358" s="2944">
        <v>2010</v>
      </c>
      <c r="F358" s="2944">
        <v>530</v>
      </c>
      <c r="G358" s="2960">
        <v>1230</v>
      </c>
    </row>
    <row r="359" spans="1:7" s="2783" customFormat="1">
      <c r="A359" s="2948" t="s">
        <v>3162</v>
      </c>
      <c r="B359" s="2948" t="s">
        <v>3164</v>
      </c>
      <c r="C359" s="2948">
        <v>1850</v>
      </c>
      <c r="D359" s="2948">
        <v>1820</v>
      </c>
      <c r="E359" s="2948">
        <v>1780</v>
      </c>
      <c r="F359" s="2948">
        <v>520</v>
      </c>
      <c r="G359" s="2961">
        <v>1100</v>
      </c>
    </row>
    <row r="360" spans="1:7" s="2783" customFormat="1">
      <c r="A360" s="2948" t="s">
        <v>3162</v>
      </c>
      <c r="B360" s="2948" t="s">
        <v>3165</v>
      </c>
      <c r="C360" s="2948">
        <v>2020</v>
      </c>
      <c r="D360" s="2948">
        <v>1990</v>
      </c>
      <c r="E360" s="2948">
        <v>1950</v>
      </c>
      <c r="F360" s="2948">
        <v>500</v>
      </c>
      <c r="G360" s="2961">
        <v>1200</v>
      </c>
    </row>
    <row r="361" spans="1:7" s="2783" customFormat="1">
      <c r="A361" s="2948" t="s">
        <v>3162</v>
      </c>
      <c r="B361" s="2948" t="s">
        <v>153</v>
      </c>
      <c r="C361" s="2948">
        <v>2260</v>
      </c>
      <c r="D361" s="2948">
        <v>2220</v>
      </c>
      <c r="E361" s="2948">
        <v>2180</v>
      </c>
      <c r="F361" s="2948">
        <v>580</v>
      </c>
      <c r="G361" s="2961">
        <v>1340</v>
      </c>
    </row>
    <row r="362" spans="1:7" s="2783" customFormat="1">
      <c r="A362" s="2948" t="s">
        <v>3162</v>
      </c>
      <c r="B362" s="2948" t="s">
        <v>3166</v>
      </c>
      <c r="C362" s="2948">
        <v>2650</v>
      </c>
      <c r="D362" s="2948">
        <v>2610</v>
      </c>
      <c r="E362" s="2948">
        <v>2570</v>
      </c>
      <c r="F362" s="2948">
        <v>630</v>
      </c>
      <c r="G362" s="2961">
        <v>1570</v>
      </c>
    </row>
    <row r="363" spans="1:7" s="2783" customFormat="1">
      <c r="A363" s="2948" t="s">
        <v>3162</v>
      </c>
      <c r="B363" s="2948" t="s">
        <v>2887</v>
      </c>
      <c r="C363" s="2948">
        <v>2390</v>
      </c>
      <c r="D363" s="2948">
        <v>2360</v>
      </c>
      <c r="E363" s="2948">
        <v>2320</v>
      </c>
      <c r="F363" s="2948">
        <v>600</v>
      </c>
      <c r="G363" s="2961">
        <v>1420</v>
      </c>
    </row>
    <row r="364" spans="1:7" s="2783" customFormat="1">
      <c r="A364" s="2948" t="s">
        <v>3162</v>
      </c>
      <c r="B364" s="2948" t="s">
        <v>3167</v>
      </c>
      <c r="C364" s="2948">
        <v>2050</v>
      </c>
      <c r="D364" s="2948">
        <v>2030</v>
      </c>
      <c r="E364" s="2948">
        <v>1990</v>
      </c>
      <c r="F364" s="2948">
        <v>550</v>
      </c>
      <c r="G364" s="2961">
        <v>1220</v>
      </c>
    </row>
    <row r="365" spans="1:7" s="2783" customFormat="1">
      <c r="A365" s="2948" t="s">
        <v>3162</v>
      </c>
      <c r="B365" s="2948" t="s">
        <v>200</v>
      </c>
      <c r="C365" s="2948">
        <v>2140</v>
      </c>
      <c r="D365" s="2948">
        <v>2100</v>
      </c>
      <c r="E365" s="2948">
        <v>2060</v>
      </c>
      <c r="F365" s="2948">
        <v>540</v>
      </c>
      <c r="G365" s="2961">
        <v>1270</v>
      </c>
    </row>
    <row r="366" spans="1:7" s="2783" customFormat="1">
      <c r="A366" s="2948" t="s">
        <v>3162</v>
      </c>
      <c r="B366" s="2948" t="s">
        <v>2894</v>
      </c>
      <c r="C366" s="2948">
        <v>2410</v>
      </c>
      <c r="D366" s="2948">
        <v>2370</v>
      </c>
      <c r="E366" s="2948">
        <v>2330</v>
      </c>
      <c r="F366" s="2948">
        <v>570</v>
      </c>
      <c r="G366" s="2961">
        <v>1440</v>
      </c>
    </row>
    <row r="367" spans="1:7" s="2783" customFormat="1">
      <c r="A367" s="2948" t="s">
        <v>3162</v>
      </c>
      <c r="B367" s="2948" t="s">
        <v>3168</v>
      </c>
      <c r="C367" s="2948">
        <v>2300</v>
      </c>
      <c r="D367" s="2948">
        <v>2260</v>
      </c>
      <c r="E367" s="2948">
        <v>2220</v>
      </c>
      <c r="F367" s="2948">
        <v>560</v>
      </c>
      <c r="G367" s="2961">
        <v>1370</v>
      </c>
    </row>
    <row r="368" spans="1:7" s="2783" customFormat="1">
      <c r="A368" s="2948" t="s">
        <v>3162</v>
      </c>
      <c r="B368" s="2948" t="s">
        <v>3169</v>
      </c>
      <c r="C368" s="2948">
        <v>2430</v>
      </c>
      <c r="D368" s="2948">
        <v>2390</v>
      </c>
      <c r="E368" s="2948">
        <v>2350</v>
      </c>
      <c r="F368" s="2948">
        <v>570</v>
      </c>
      <c r="G368" s="2961">
        <v>1450</v>
      </c>
    </row>
    <row r="369" spans="1:7" s="2783" customFormat="1">
      <c r="A369" s="2948" t="s">
        <v>3162</v>
      </c>
      <c r="B369" s="2948" t="s">
        <v>214</v>
      </c>
      <c r="C369" s="2948">
        <v>2320</v>
      </c>
      <c r="D369" s="2948">
        <v>2290</v>
      </c>
      <c r="E369" s="2948">
        <v>2250</v>
      </c>
      <c r="F369" s="2948">
        <v>550</v>
      </c>
      <c r="G369" s="2961">
        <v>1380</v>
      </c>
    </row>
    <row r="370" spans="1:7" s="2783" customFormat="1">
      <c r="A370" s="2948" t="s">
        <v>3162</v>
      </c>
      <c r="B370" s="2948" t="s">
        <v>221</v>
      </c>
      <c r="C370" s="2948">
        <v>2190</v>
      </c>
      <c r="D370" s="2948">
        <v>2170</v>
      </c>
      <c r="E370" s="2948">
        <v>2130</v>
      </c>
      <c r="F370" s="2948">
        <v>530</v>
      </c>
      <c r="G370" s="2961">
        <v>1310</v>
      </c>
    </row>
    <row r="371" spans="1:7" s="2783" customFormat="1">
      <c r="A371" s="2948" t="s">
        <v>3162</v>
      </c>
      <c r="B371" s="2948" t="s">
        <v>229</v>
      </c>
      <c r="C371" s="2948">
        <v>2460</v>
      </c>
      <c r="D371" s="2948">
        <v>2420</v>
      </c>
      <c r="E371" s="2948">
        <v>2370</v>
      </c>
      <c r="F371" s="2948">
        <v>560</v>
      </c>
      <c r="G371" s="2961">
        <v>1470</v>
      </c>
    </row>
    <row r="372" spans="1:7" s="2783" customFormat="1">
      <c r="A372" s="2948" t="s">
        <v>3162</v>
      </c>
      <c r="B372" s="2948" t="s">
        <v>3170</v>
      </c>
      <c r="C372" s="2948">
        <v>2250</v>
      </c>
      <c r="D372" s="2948">
        <v>2210</v>
      </c>
      <c r="E372" s="2948">
        <v>2180</v>
      </c>
      <c r="F372" s="2948">
        <v>550</v>
      </c>
      <c r="G372" s="2961">
        <v>1340</v>
      </c>
    </row>
    <row r="373" spans="1:7" s="2783" customFormat="1">
      <c r="A373" s="2948" t="s">
        <v>3162</v>
      </c>
      <c r="B373" s="2948" t="s">
        <v>258</v>
      </c>
      <c r="C373" s="2948">
        <v>2210</v>
      </c>
      <c r="D373" s="2948">
        <v>2190</v>
      </c>
      <c r="E373" s="2948">
        <v>2150</v>
      </c>
      <c r="F373" s="2948">
        <v>530</v>
      </c>
      <c r="G373" s="2961">
        <v>1320</v>
      </c>
    </row>
    <row r="374" spans="1:7" s="2783" customFormat="1">
      <c r="A374" s="2948" t="s">
        <v>3162</v>
      </c>
      <c r="B374" s="2948" t="s">
        <v>266</v>
      </c>
      <c r="C374" s="2948">
        <v>2320</v>
      </c>
      <c r="D374" s="2948">
        <v>2280</v>
      </c>
      <c r="E374" s="2948">
        <v>2230</v>
      </c>
      <c r="F374" s="2948">
        <v>580</v>
      </c>
      <c r="G374" s="2961">
        <v>1380</v>
      </c>
    </row>
    <row r="375" spans="1:7" s="2783" customFormat="1">
      <c r="A375" s="2948" t="s">
        <v>3162</v>
      </c>
      <c r="B375" s="2948" t="s">
        <v>3171</v>
      </c>
      <c r="C375" s="2948">
        <v>2090</v>
      </c>
      <c r="D375" s="2948">
        <v>2050</v>
      </c>
      <c r="E375" s="2948">
        <v>2020</v>
      </c>
      <c r="F375" s="2948">
        <v>520</v>
      </c>
      <c r="G375" s="2961">
        <v>1240</v>
      </c>
    </row>
    <row r="376" spans="1:7" s="2783" customFormat="1">
      <c r="A376" s="2948" t="s">
        <v>3162</v>
      </c>
      <c r="B376" s="2948" t="s">
        <v>277</v>
      </c>
      <c r="C376" s="2948">
        <v>2010</v>
      </c>
      <c r="D376" s="2948">
        <v>1980</v>
      </c>
      <c r="E376" s="2948">
        <v>1940</v>
      </c>
      <c r="F376" s="2948">
        <v>540</v>
      </c>
      <c r="G376" s="2961">
        <v>1190</v>
      </c>
    </row>
    <row r="377" spans="1:7" s="2783" customFormat="1" ht="11.4" thickBot="1">
      <c r="A377" s="2956" t="s">
        <v>3162</v>
      </c>
      <c r="B377" s="2959" t="s">
        <v>2924</v>
      </c>
      <c r="C377" s="2959">
        <v>1930</v>
      </c>
      <c r="D377" s="2959">
        <v>1890</v>
      </c>
      <c r="E377" s="2959">
        <v>1860</v>
      </c>
      <c r="F377" s="2959">
        <v>530</v>
      </c>
      <c r="G377" s="2964">
        <v>1150</v>
      </c>
    </row>
    <row r="378" spans="1:7" s="2783" customFormat="1">
      <c r="A378" s="2965" t="s">
        <v>3172</v>
      </c>
      <c r="B378" s="2944" t="s">
        <v>3173</v>
      </c>
      <c r="C378" s="2944">
        <v>1520</v>
      </c>
      <c r="D378" s="2944">
        <v>1490</v>
      </c>
      <c r="E378" s="2944">
        <v>1460</v>
      </c>
      <c r="F378" s="2944">
        <v>460</v>
      </c>
      <c r="G378" s="2960">
        <v>940</v>
      </c>
    </row>
    <row r="379" spans="1:7" s="2783" customFormat="1">
      <c r="A379" s="2966" t="s">
        <v>3172</v>
      </c>
      <c r="B379" s="2948" t="s">
        <v>3174</v>
      </c>
      <c r="C379" s="2948">
        <v>1500</v>
      </c>
      <c r="D379" s="2948">
        <v>1470</v>
      </c>
      <c r="E379" s="2948">
        <v>1430</v>
      </c>
      <c r="F379" s="2948">
        <v>460</v>
      </c>
      <c r="G379" s="2961">
        <v>920</v>
      </c>
    </row>
    <row r="380" spans="1:7" s="2783" customFormat="1">
      <c r="A380" s="2966" t="s">
        <v>3172</v>
      </c>
      <c r="B380" s="2948" t="s">
        <v>3175</v>
      </c>
      <c r="C380" s="2948">
        <v>1620</v>
      </c>
      <c r="D380" s="2948">
        <v>1590</v>
      </c>
      <c r="E380" s="2948">
        <v>1560</v>
      </c>
      <c r="F380" s="2948">
        <v>480</v>
      </c>
      <c r="G380" s="2961">
        <v>1000</v>
      </c>
    </row>
    <row r="381" spans="1:7" s="2783" customFormat="1">
      <c r="A381" s="2966" t="s">
        <v>3172</v>
      </c>
      <c r="B381" s="2948" t="s">
        <v>3176</v>
      </c>
      <c r="C381" s="2948">
        <v>1460</v>
      </c>
      <c r="D381" s="2948">
        <v>1430</v>
      </c>
      <c r="E381" s="2948">
        <v>1390</v>
      </c>
      <c r="F381" s="2948">
        <v>450</v>
      </c>
      <c r="G381" s="2961">
        <v>900</v>
      </c>
    </row>
    <row r="382" spans="1:7" s="2783" customFormat="1">
      <c r="A382" s="2966" t="s">
        <v>3172</v>
      </c>
      <c r="B382" s="2948" t="s">
        <v>3177</v>
      </c>
      <c r="C382" s="2948">
        <v>1310</v>
      </c>
      <c r="D382" s="2948">
        <v>1280</v>
      </c>
      <c r="E382" s="2948">
        <v>1250</v>
      </c>
      <c r="F382" s="2948">
        <v>440</v>
      </c>
      <c r="G382" s="2961">
        <v>800</v>
      </c>
    </row>
    <row r="383" spans="1:7" s="2783" customFormat="1">
      <c r="A383" s="2966" t="s">
        <v>3172</v>
      </c>
      <c r="B383" s="2948" t="s">
        <v>3178</v>
      </c>
      <c r="C383" s="2948">
        <v>1260</v>
      </c>
      <c r="D383" s="2948">
        <v>1230</v>
      </c>
      <c r="E383" s="2948">
        <v>1200</v>
      </c>
      <c r="F383" s="2948">
        <v>420</v>
      </c>
      <c r="G383" s="2961">
        <v>770</v>
      </c>
    </row>
    <row r="384" spans="1:7" s="2783" customFormat="1" ht="11.4" thickBot="1">
      <c r="A384" s="2967" t="s">
        <v>3172</v>
      </c>
      <c r="B384" s="2955" t="s">
        <v>3179</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45845</v>
      </c>
      <c r="D1" s="1217" t="s">
        <v>603</v>
      </c>
      <c r="E1" s="1212">
        <f>'数据-取费表'!B22</f>
        <v>0</v>
      </c>
      <c r="F1" s="1217" t="s">
        <v>604</v>
      </c>
      <c r="G1" s="1213" t="e">
        <f ca="1">INDIRECT("d"&amp;$K$1)/100</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2308</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9" t="str">
        <f>IF(项目基本情况!B9="房地产市场价值","估价结果一览表","结果表-2")</f>
        <v>结果表-2</v>
      </c>
      <c r="B1" s="3189"/>
      <c r="C1" s="3189"/>
      <c r="D1" s="3189"/>
      <c r="E1" s="3189"/>
      <c r="F1" s="3189"/>
      <c r="G1" s="3189"/>
      <c r="H1" s="3189"/>
      <c r="I1" s="3189"/>
    </row>
    <row r="2" spans="1:9" ht="30" customHeight="1" thickTop="1">
      <c r="A2" s="3190" t="s">
        <v>928</v>
      </c>
      <c r="B2" s="3190" t="s">
        <v>929</v>
      </c>
      <c r="C2" s="3190" t="s">
        <v>930</v>
      </c>
      <c r="D2" s="3190" t="str">
        <f>结果表!D116</f>
        <v>出让国有建设用地使用权价值</v>
      </c>
      <c r="E2" s="3190"/>
      <c r="F2" s="3190" t="str">
        <f>结果表!F116</f>
        <v>在建建筑物价值</v>
      </c>
      <c r="G2" s="3190"/>
      <c r="H2" s="3190" t="str">
        <f>IF(项目基本情况!B9="房地产市场价值","房地产市场价值","房地产价值")</f>
        <v>房地产价值</v>
      </c>
      <c r="I2" s="3190"/>
    </row>
    <row r="3" spans="1:9" ht="15.6">
      <c r="A3" s="3185"/>
      <c r="B3" s="3185"/>
      <c r="C3" s="3185"/>
      <c r="D3" s="801" t="s">
        <v>925</v>
      </c>
      <c r="E3" s="801" t="s">
        <v>931</v>
      </c>
      <c r="F3" s="801" t="s">
        <v>925</v>
      </c>
      <c r="G3" s="801" t="s">
        <v>926</v>
      </c>
      <c r="H3" s="801" t="s">
        <v>925</v>
      </c>
      <c r="I3" s="801" t="s">
        <v>926</v>
      </c>
    </row>
    <row r="4" spans="1:9" ht="15">
      <c r="A4" s="1403" t="str">
        <f>项目基本情况!S2</f>
        <v>北京市房地产</v>
      </c>
      <c r="B4" s="801">
        <f>项目基本情况!C17</f>
        <v>0</v>
      </c>
      <c r="C4" s="801" t="e">
        <f>项目基本情况!C18</f>
        <v>#DIV/0!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5" t="s">
        <v>927</v>
      </c>
      <c r="B5" s="3185"/>
      <c r="C5" s="3185"/>
      <c r="D5" s="3185" t="e">
        <f ca="1">结果表!D119</f>
        <v>#REF!</v>
      </c>
      <c r="E5" s="3185"/>
      <c r="F5" s="3185" t="e">
        <f ca="1">结果表!F119</f>
        <v>#REF!</v>
      </c>
      <c r="G5" s="3185"/>
      <c r="H5" s="3185" t="e">
        <f ca="1">结果表!H119</f>
        <v>#REF!</v>
      </c>
      <c r="I5" s="3185"/>
    </row>
    <row r="6" spans="1:9" ht="15.6">
      <c r="A6" s="3184" t="str">
        <f>结果表!A120</f>
        <v>估价师知悉的法定优先受偿款</v>
      </c>
      <c r="B6" s="3184"/>
      <c r="C6" s="3184"/>
      <c r="D6" s="3184">
        <f>结果表!D120</f>
        <v>0</v>
      </c>
      <c r="E6" s="3184"/>
      <c r="F6" s="3184"/>
      <c r="G6" s="3184"/>
      <c r="H6" s="3184"/>
      <c r="I6" s="3184"/>
    </row>
    <row r="7" spans="1:9" ht="15">
      <c r="A7" s="3185" t="s">
        <v>927</v>
      </c>
      <c r="B7" s="3185"/>
      <c r="C7" s="3185"/>
      <c r="D7" s="3186" t="str">
        <f>结果表!D121</f>
        <v>零元整</v>
      </c>
      <c r="E7" s="3187"/>
      <c r="F7" s="3187"/>
      <c r="G7" s="3187"/>
      <c r="H7" s="3187"/>
      <c r="I7" s="3188"/>
    </row>
    <row r="8" spans="1:9" ht="15.6">
      <c r="A8" s="3184" t="str">
        <f>结果表!A122</f>
        <v>房地产抵押价值</v>
      </c>
      <c r="B8" s="3184"/>
      <c r="C8" s="3184"/>
      <c r="D8" s="3184" t="e">
        <f ca="1">结果表!D122</f>
        <v>#REF!</v>
      </c>
      <c r="E8" s="3184"/>
      <c r="F8" s="3184"/>
      <c r="G8" s="3184"/>
      <c r="H8" s="3184"/>
      <c r="I8" s="3184"/>
    </row>
    <row r="9" spans="1:9" ht="15">
      <c r="A9" s="3185" t="s">
        <v>927</v>
      </c>
      <c r="B9" s="3185"/>
      <c r="C9" s="3185"/>
      <c r="D9" s="3185" t="e">
        <f ca="1">结果表!D123</f>
        <v>#REF!</v>
      </c>
      <c r="E9" s="3185"/>
      <c r="F9" s="3185"/>
      <c r="G9" s="3185"/>
      <c r="H9" s="3185"/>
      <c r="I9" s="3185"/>
    </row>
    <row r="10" spans="1:9" ht="15.6">
      <c r="A10" s="3184" t="str">
        <f>结果表!A124</f>
        <v/>
      </c>
      <c r="B10" s="3184"/>
      <c r="C10" s="3184"/>
      <c r="D10" s="3184" t="str">
        <f>结果表!D124</f>
        <v>——</v>
      </c>
      <c r="E10" s="3184"/>
      <c r="F10" s="3184"/>
      <c r="G10" s="3184"/>
      <c r="H10" s="3184"/>
      <c r="I10" s="3184"/>
    </row>
    <row r="11" spans="1:9" ht="15">
      <c r="A11" s="3185" t="s">
        <v>927</v>
      </c>
      <c r="B11" s="3185"/>
      <c r="C11" s="3185"/>
      <c r="D11" s="3185" t="e">
        <f>结果表!D125</f>
        <v>#VALUE!</v>
      </c>
      <c r="E11" s="3185"/>
      <c r="F11" s="3185"/>
      <c r="G11" s="3185"/>
      <c r="H11" s="3185"/>
      <c r="I11" s="3185"/>
    </row>
    <row r="12" spans="1:9" ht="15.6">
      <c r="A12" s="3184" t="str">
        <f>结果表!A126</f>
        <v/>
      </c>
      <c r="B12" s="3184"/>
      <c r="C12" s="3184"/>
      <c r="D12" s="3184" t="str">
        <f>结果表!D126</f>
        <v>——</v>
      </c>
      <c r="E12" s="3184"/>
      <c r="F12" s="3184"/>
      <c r="G12" s="3184"/>
      <c r="H12" s="3184"/>
      <c r="I12" s="3184"/>
    </row>
    <row r="13" spans="1:9" ht="15.6" thickBot="1">
      <c r="A13" s="3182" t="s">
        <v>927</v>
      </c>
      <c r="B13" s="3182"/>
      <c r="C13" s="3182"/>
      <c r="D13" s="3182" t="e">
        <f>结果表!D127</f>
        <v>#VALUE!</v>
      </c>
      <c r="E13" s="3182"/>
      <c r="F13" s="3182"/>
      <c r="G13" s="3182"/>
      <c r="H13" s="3182"/>
      <c r="I13" s="3182"/>
    </row>
    <row r="14" spans="1:9" ht="14.4" thickTop="1">
      <c r="A14" s="3183" t="s">
        <v>932</v>
      </c>
      <c r="B14" s="3183"/>
      <c r="C14" s="3183"/>
      <c r="D14" s="3183"/>
      <c r="E14" s="3183"/>
      <c r="F14" s="3183"/>
      <c r="G14" s="3183"/>
      <c r="H14" s="3183"/>
      <c r="I14" s="3183"/>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7" t="s">
        <v>949</v>
      </c>
      <c r="B1" s="3197"/>
      <c r="C1" s="3197"/>
      <c r="D1" s="3197"/>
    </row>
    <row r="2" spans="1:4" ht="17.399999999999999">
      <c r="A2" s="3198" t="s">
        <v>933</v>
      </c>
      <c r="B2" s="3198"/>
      <c r="C2" s="3198"/>
      <c r="D2" s="3198"/>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8" t="s">
        <v>939</v>
      </c>
      <c r="B6" s="3198"/>
      <c r="C6" s="3198"/>
      <c r="D6" s="3198"/>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9" t="s">
        <v>942</v>
      </c>
      <c r="B11" s="3191"/>
      <c r="C11" s="3191"/>
      <c r="D11" s="3191"/>
    </row>
    <row r="12" spans="1:4" ht="15.6">
      <c r="A12" s="31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6"/>
      <c r="C12" s="3196"/>
      <c r="D12" s="3196"/>
    </row>
    <row r="13" spans="1:4" ht="30" customHeight="1">
      <c r="A13" s="31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6"/>
      <c r="C13" s="3196"/>
      <c r="D13" s="3196"/>
    </row>
    <row r="14" spans="1:4" ht="15.75" customHeight="1">
      <c r="A14" s="3191" t="str">
        <f>IF(项目基本情况!B8="抵押","4.本次评估估价师所知悉的法定优先受偿款情况说明如下：","——")</f>
        <v>4.本次评估估价师所知悉的法定优先受偿款情况说明如下：</v>
      </c>
      <c r="B14" s="3196"/>
      <c r="C14" s="3196"/>
      <c r="D14" s="3196"/>
    </row>
    <row r="15" spans="1:4" ht="42" customHeight="1">
      <c r="A15" s="31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1"/>
      <c r="C15" s="3191"/>
      <c r="D15" s="3191"/>
    </row>
    <row r="16" spans="1:4" ht="30" customHeight="1">
      <c r="A16" s="3193" t="s">
        <v>943</v>
      </c>
      <c r="B16" s="3193"/>
      <c r="C16" s="3193"/>
      <c r="D16" s="3193"/>
    </row>
    <row r="17" spans="1:4" ht="144" customHeight="1">
      <c r="A17" s="3193" t="s">
        <v>944</v>
      </c>
      <c r="B17" s="3193"/>
      <c r="C17" s="3193"/>
      <c r="D17" s="3193"/>
    </row>
    <row r="18" spans="1:4" ht="15.75" customHeight="1">
      <c r="A18" s="3191" t="str">
        <f>IF(项目基本情况!B8="抵押",结果表!K120,"——")</f>
        <v>故，本次评估不存在估价师知悉的法定优先受偿款</v>
      </c>
      <c r="B18" s="3191"/>
      <c r="C18" s="3191"/>
      <c r="D18" s="3191"/>
    </row>
    <row r="19" spans="1:4" ht="46.5" customHeight="1">
      <c r="A19" s="31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1"/>
      <c r="C19" s="3191"/>
      <c r="D19" s="3191"/>
    </row>
    <row r="20" spans="1:4" ht="57.75" customHeight="1">
      <c r="A20" s="31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1"/>
      <c r="C20" s="3191"/>
      <c r="D20" s="3191"/>
    </row>
    <row r="21" spans="1:4" ht="57.75" customHeight="1">
      <c r="A21" s="31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4"/>
      <c r="C21" s="3194"/>
      <c r="D21" s="3194"/>
    </row>
    <row r="22" spans="1:4" ht="18.75" customHeight="1">
      <c r="A22" s="3195" t="s">
        <v>945</v>
      </c>
      <c r="B22" s="3195"/>
      <c r="C22" s="3195"/>
      <c r="D22" s="3195"/>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2">
        <v>42551</v>
      </c>
      <c r="D31" s="31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5" t="s">
        <v>956</v>
      </c>
      <c r="B15" s="3200" t="s">
        <v>109</v>
      </c>
      <c r="C15" s="3201"/>
    </row>
    <row r="16" spans="1:7" ht="14.4">
      <c r="A16" s="3206"/>
      <c r="B16" s="3200" t="s">
        <v>42</v>
      </c>
      <c r="C16" s="3201"/>
    </row>
    <row r="17" spans="1:3" ht="14.4">
      <c r="A17" s="3206"/>
      <c r="B17" s="3203" t="s">
        <v>957</v>
      </c>
      <c r="C17" s="1429" t="s">
        <v>956</v>
      </c>
    </row>
    <row r="18" spans="1:3" ht="14.4">
      <c r="A18" s="3206"/>
      <c r="B18" s="3203"/>
      <c r="C18" s="1429" t="s">
        <v>958</v>
      </c>
    </row>
    <row r="19" spans="1:3" ht="14.4">
      <c r="A19" s="3206"/>
      <c r="B19" s="3203"/>
      <c r="C19" s="1429" t="s">
        <v>959</v>
      </c>
    </row>
    <row r="20" spans="1:3" ht="14.4">
      <c r="A20" s="3207"/>
      <c r="B20" s="3202" t="s">
        <v>960</v>
      </c>
      <c r="C20" s="3201"/>
    </row>
    <row r="21" spans="1:3" ht="14.4">
      <c r="A21" s="1430" t="s">
        <v>961</v>
      </c>
      <c r="B21" s="1431"/>
      <c r="C21" s="1432"/>
    </row>
    <row r="22" spans="1:3" ht="14.4">
      <c r="A22" s="3204" t="s">
        <v>962</v>
      </c>
      <c r="B22" s="3202" t="s">
        <v>963</v>
      </c>
      <c r="C22" s="3201"/>
    </row>
    <row r="23" spans="1:3" ht="14.4">
      <c r="A23" s="3204"/>
      <c r="B23" s="3202" t="s">
        <v>964</v>
      </c>
      <c r="C23" s="3201"/>
    </row>
    <row r="24" spans="1:3" ht="14.4">
      <c r="A24" s="3204"/>
      <c r="B24" s="3202" t="s">
        <v>965</v>
      </c>
      <c r="C24" s="3201"/>
    </row>
    <row r="25" spans="1:3" ht="14.4">
      <c r="A25" s="3204"/>
      <c r="B25" s="3203" t="s">
        <v>966</v>
      </c>
      <c r="C25" s="1429" t="s">
        <v>967</v>
      </c>
    </row>
    <row r="26" spans="1:3" ht="14.4">
      <c r="A26" s="3204"/>
      <c r="B26" s="3203"/>
      <c r="C26" s="1429" t="s">
        <v>968</v>
      </c>
    </row>
    <row r="27" spans="1:3" ht="14.4">
      <c r="A27" s="3204"/>
      <c r="B27" s="3203"/>
      <c r="C27" s="1429" t="s">
        <v>969</v>
      </c>
    </row>
    <row r="28" spans="1:3" ht="14.4">
      <c r="A28" s="3204"/>
      <c r="B28" s="3203"/>
      <c r="C28" s="1429" t="s">
        <v>970</v>
      </c>
    </row>
    <row r="29" spans="1:3" ht="14.4">
      <c r="A29" s="3204"/>
      <c r="B29" s="3203"/>
      <c r="C29" s="1429" t="s">
        <v>971</v>
      </c>
    </row>
    <row r="30" spans="1:3" ht="14.4">
      <c r="A30" s="3204"/>
      <c r="B30" s="3203"/>
      <c r="C30" s="1429" t="s">
        <v>972</v>
      </c>
    </row>
    <row r="31" spans="1:3" ht="14.4">
      <c r="A31" s="3204"/>
      <c r="B31" s="3203"/>
      <c r="C31" s="1429" t="s">
        <v>973</v>
      </c>
    </row>
    <row r="32" spans="1:3" ht="14.4">
      <c r="A32" s="3204"/>
      <c r="B32" s="3203"/>
      <c r="C32" s="1429" t="s">
        <v>974</v>
      </c>
    </row>
    <row r="33" spans="1:3" ht="14.4">
      <c r="A33" s="3204"/>
      <c r="B33" s="3203"/>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2138</v>
      </c>
      <c r="B2" s="2157">
        <f ca="1">TODAY()</f>
        <v>45848</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t="str">
        <f ca="1">IF(C10&lt;B2,"已过期",1120100036)</f>
        <v>已过期</v>
      </c>
      <c r="C10" s="2167">
        <v>45752</v>
      </c>
      <c r="D10" s="2163" t="str">
        <f t="shared" ca="1" si="0"/>
        <v>崔锴（注册号：已过期）</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8" t="s">
        <v>2159</v>
      </c>
      <c r="B17" s="3208"/>
      <c r="C17" s="3208"/>
      <c r="D17" s="3208"/>
      <c r="E17" s="3208"/>
      <c r="F17" s="3208"/>
      <c r="G17" s="3208"/>
      <c r="H17" s="3208"/>
    </row>
    <row r="18" spans="1:8" ht="24" customHeight="1">
      <c r="A18" s="3209" t="s">
        <v>2160</v>
      </c>
      <c r="B18" s="3209"/>
      <c r="C18" s="3209"/>
      <c r="D18" s="2160"/>
      <c r="E18" s="3210" t="s">
        <v>2161</v>
      </c>
      <c r="F18" s="3209"/>
      <c r="G18" s="3209"/>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面积信息价值表</vt:lpstr>
      <vt:lpstr>典型户型修正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结果表</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2025-07-10T07:07:24Z</dcterms:modified>
</cp:coreProperties>
</file>