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空军\F01\"/>
    </mc:Choice>
  </mc:AlternateContent>
  <xr:revisionPtr revIDLastSave="0" documentId="13_ncr:1_{3C4CCBF5-92E7-43C4-A2E6-E3B5630C1243}" xr6:coauthVersionLast="45" xr6:coauthVersionMax="45" xr10:uidLastSave="{00000000-0000-0000-0000-000000000000}"/>
  <bookViews>
    <workbookView xWindow="1260" yWindow="225" windowWidth="18780" windowHeight="10560" tabRatio="899" firstSheet="24"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总表" sheetId="88" r:id="rId25"/>
    <sheet name="租金比较法-商业" sheetId="33" r:id="rId26"/>
    <sheet name="比较法-住宅" sheetId="84" state="hidden" r:id="rId27"/>
    <sheet name="售价案例" sheetId="82" state="hidden" r:id="rId28"/>
    <sheet name="租金比较法-住宅 " sheetId="80" state="hidden" r:id="rId29"/>
    <sheet name="租金案例" sheetId="89"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系统读取表" sheetId="74" r:id="rId36"/>
    <sheet name="收益法倒推" sheetId="83"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25" hidden="1">'租金比较法-商业'!$A$1:$L$49</definedName>
    <definedName name="_xlnm._FilterDatabase" localSheetId="28" hidden="1">'租金比较法-住宅 '!$A$1:$L$49</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6">收益法倒推!$A$1:$J$89</definedName>
    <definedName name="_xlnm.Print_Area" localSheetId="13">'数据-汇总表'!$A$1:$P$32</definedName>
    <definedName name="_xlnm.Print_Area" localSheetId="37">'土地比较法-工业'!$A$1:$K$61,'土地比较法-工业'!$A$64:$M$121</definedName>
    <definedName name="_xlnm.Print_Area" localSheetId="34">'土地比较法-住宅、综合'!$A$1:$K$65,'土地比较法-住宅、综合'!$A$68:$M$131</definedName>
    <definedName name="_xlnm.Print_Area" localSheetId="35">系统读取表!$A$1:$I$26</definedName>
    <definedName name="_xlnm.Print_Area" localSheetId="11">项目基本情况!$A$1:$I$38</definedName>
    <definedName name="_xlnm.Print_Area" localSheetId="25">'租金比较法-商业'!$A$1:$K$54,'租金比较法-商业'!$A$57:$M$131</definedName>
    <definedName name="_xlnm.Print_Area" localSheetId="28">'租金比较法-住宅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'租金比较法-商业'!$B$116:$M$116</definedName>
    <definedName name="商业成新度">'租金比较法-商业'!$B$109:$M$109</definedName>
    <definedName name="商业繁华度">定义!$L$1:$L$6</definedName>
    <definedName name="商业公共部分装修">'租金比较法-商业'!$B$107:$M$107</definedName>
    <definedName name="商业基础设施水平">'租金比较法-商业'!$B$112:$M$112</definedName>
    <definedName name="商业建筑结构">'租金比较法-商业'!$B$105:$M$105</definedName>
    <definedName name="商业交易情况">'租金比较法-商业'!$A$61:$M$61</definedName>
    <definedName name="商业街名称">修正!$C$71:$C$138</definedName>
    <definedName name="商业进深比">'租金比较法-商业'!$B$120:$M$120</definedName>
    <definedName name="商业类型">'租金比较法-商业'!$B$100:$M$100</definedName>
    <definedName name="商业临街状况">'租金比较法-商业'!$B$86:$M$86</definedName>
    <definedName name="商业楼层">'租金比较法-商业'!$B$92:$M$92</definedName>
    <definedName name="商业内部装修">'租金比较法-商业'!$B$122:$M$122</definedName>
    <definedName name="商业人流量">'租金比较法-商业'!$B$90:$M$90</definedName>
    <definedName name="商业业态">'租金比较法-商业'!$B$114:$M$114</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6">'比较法-住宅'!$B$88:$M$88</definedName>
    <definedName name="住宅朝向" localSheetId="28">'租金比较法-住宅 '!$B$88:$O$88</definedName>
    <definedName name="住宅朝向">#REF!</definedName>
    <definedName name="住宅房型" localSheetId="26">'比较法-住宅'!$B$118:$M$118</definedName>
    <definedName name="住宅房型" localSheetId="28">'租金比较法-住宅 '!$B$118:$M$118</definedName>
    <definedName name="住宅房型">#REF!</definedName>
    <definedName name="住宅公共部分装修" localSheetId="26">'比较法-住宅'!$B$109:$M$109</definedName>
    <definedName name="住宅公共部分装修" localSheetId="28">'租金比较法-住宅 '!$B$109:$M$109</definedName>
    <definedName name="住宅公共部分装修">#REF!</definedName>
    <definedName name="住宅基础设施水平" localSheetId="26">'比较法-住宅'!$B$116:$M$116</definedName>
    <definedName name="住宅基础设施水平" localSheetId="28">'租金比较法-住宅 '!$B$116:$M$116</definedName>
    <definedName name="住宅基础设施水平">#REF!</definedName>
    <definedName name="住宅建筑结构" localSheetId="26">'比较法-住宅'!$B$105:$M$105</definedName>
    <definedName name="住宅建筑结构" localSheetId="28">'租金比较法-住宅 '!$B$105:$M$105</definedName>
    <definedName name="住宅建筑结构">#REF!</definedName>
    <definedName name="住宅建筑类型" localSheetId="26">'比较法-住宅'!$B$100:$M$100</definedName>
    <definedName name="住宅建筑类型" localSheetId="28">'租金比较法-住宅 '!$B$100:$M$100</definedName>
    <definedName name="住宅建筑类型">#REF!</definedName>
    <definedName name="住宅建筑品质" localSheetId="26">'比较法-住宅'!$B$107:$M$107</definedName>
    <definedName name="住宅建筑品质" localSheetId="28">'租金比较法-住宅 '!$B$107:$M$107</definedName>
    <definedName name="住宅建筑品质">#REF!</definedName>
    <definedName name="住宅交易情况" localSheetId="26">'比较法-住宅'!$A$61:$M$61</definedName>
    <definedName name="住宅交易情况" localSheetId="28">'租金比较法-住宅 '!$A$61:$M$61</definedName>
    <definedName name="住宅交易情况">#REF!</definedName>
    <definedName name="住宅楼层" localSheetId="26">'比较法-住宅'!$B$86:$M$86</definedName>
    <definedName name="住宅楼层" localSheetId="28">'租金比较法-住宅 '!$B$86:$M$86</definedName>
    <definedName name="住宅楼层">#REF!</definedName>
    <definedName name="住宅内部装修" localSheetId="26">'比较法-住宅'!$B$122:$M$122</definedName>
    <definedName name="住宅内部装修" localSheetId="28">'租金比较法-住宅 '!$B$122:$M$122</definedName>
    <definedName name="住宅内部装修">#REF!</definedName>
    <definedName name="住宅物业管理" localSheetId="26">'比较法-住宅'!$B$114:$M$114</definedName>
    <definedName name="住宅物业管理" localSheetId="28">'租金比较法-住宅 '!$B$114:$M$114</definedName>
    <definedName name="住宅物业管理">#REF!</definedName>
    <definedName name="住宅用途" localSheetId="26">'比较法-住宅'!$B$63:$M$63</definedName>
    <definedName name="住宅用途" localSheetId="28">'租金比较法-住宅 '!$B$63:$M$63</definedName>
    <definedName name="住宅用途">#REF!</definedName>
    <definedName name="住宅主力户型面积" localSheetId="26">'比较法-住宅'!$B$120:$M$120</definedName>
    <definedName name="住宅主力户型面积" localSheetId="28">'租金比较法-住宅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8" i="88" l="1"/>
  <c r="S34" i="88"/>
  <c r="N15" i="88" l="1"/>
  <c r="N39" i="88"/>
  <c r="N38" i="88"/>
  <c r="H39" i="88"/>
  <c r="H37" i="88"/>
  <c r="H35" i="88"/>
  <c r="H33" i="88"/>
  <c r="H5" i="88"/>
  <c r="H30" i="88" s="1"/>
  <c r="E77" i="39" l="1"/>
  <c r="F77" i="39" s="1"/>
  <c r="G77" i="39" s="1"/>
  <c r="H77" i="39" s="1"/>
  <c r="I77" i="39" s="1"/>
  <c r="D77" i="39"/>
  <c r="I7" i="39"/>
  <c r="G7" i="39"/>
  <c r="E7" i="39"/>
  <c r="C6" i="39"/>
  <c r="N16" i="88"/>
  <c r="N17" i="88"/>
  <c r="N18" i="88"/>
  <c r="N19" i="88"/>
  <c r="N20" i="88"/>
  <c r="N21" i="88"/>
  <c r="N22" i="88"/>
  <c r="N23" i="88"/>
  <c r="N24" i="88"/>
  <c r="N25" i="88"/>
  <c r="N26" i="88"/>
  <c r="N27" i="88"/>
  <c r="N28" i="88"/>
  <c r="N29" i="88"/>
  <c r="N30" i="88"/>
  <c r="N31" i="88"/>
  <c r="N32" i="88"/>
  <c r="N33" i="88"/>
  <c r="N34" i="88"/>
  <c r="N35" i="88"/>
  <c r="N36" i="88"/>
  <c r="N37" i="88"/>
  <c r="N4" i="88"/>
  <c r="N8" i="88"/>
  <c r="N9" i="88"/>
  <c r="N10" i="88"/>
  <c r="N11" i="88"/>
  <c r="N12" i="88"/>
  <c r="N13" i="88"/>
  <c r="N14" i="88"/>
  <c r="N7" i="88"/>
  <c r="B54" i="88"/>
  <c r="K30" i="88" s="1"/>
  <c r="K40" i="88"/>
  <c r="K36" i="88"/>
  <c r="J54" i="88"/>
  <c r="K42" i="88" s="1"/>
  <c r="I54" i="88"/>
  <c r="K19" i="88" s="1"/>
  <c r="C54" i="88"/>
  <c r="K4" i="88" s="1"/>
  <c r="D54" i="88"/>
  <c r="K37" i="88" s="1"/>
  <c r="E54" i="88"/>
  <c r="K34" i="88" s="1"/>
  <c r="F54" i="88"/>
  <c r="K32" i="88" s="1"/>
  <c r="G54" i="88"/>
  <c r="K39" i="88" s="1"/>
  <c r="E42" i="88"/>
  <c r="E41" i="88"/>
  <c r="E40" i="88"/>
  <c r="E39" i="88"/>
  <c r="E38" i="88"/>
  <c r="E37" i="88"/>
  <c r="E36" i="88"/>
  <c r="E35" i="88"/>
  <c r="E34" i="88"/>
  <c r="E33" i="88"/>
  <c r="E32" i="88"/>
  <c r="E31" i="88"/>
  <c r="E30" i="88"/>
  <c r="E17" i="88"/>
  <c r="E18" i="88"/>
  <c r="E19" i="88"/>
  <c r="E20" i="88"/>
  <c r="E21" i="88"/>
  <c r="E22" i="88"/>
  <c r="E23" i="88"/>
  <c r="E24" i="88"/>
  <c r="E25" i="88"/>
  <c r="E26" i="88"/>
  <c r="E27" i="88"/>
  <c r="E28" i="88"/>
  <c r="E29" i="88"/>
  <c r="E16" i="88"/>
  <c r="E9" i="88"/>
  <c r="E10" i="88"/>
  <c r="E11" i="88"/>
  <c r="E12" i="88"/>
  <c r="E13" i="88"/>
  <c r="E14" i="88"/>
  <c r="E15" i="88"/>
  <c r="E8" i="88"/>
  <c r="E7" i="88"/>
  <c r="E6" i="88"/>
  <c r="E5" i="88"/>
  <c r="E4" i="88"/>
  <c r="E3" i="88"/>
  <c r="E2" i="88"/>
  <c r="C33" i="33"/>
  <c r="I7" i="33"/>
  <c r="G7" i="33"/>
  <c r="E7" i="33"/>
  <c r="E66" i="33"/>
  <c r="F66" i="33" s="1"/>
  <c r="G66" i="33" s="1"/>
  <c r="H66" i="33" s="1"/>
  <c r="I66" i="33" s="1"/>
  <c r="D66" i="33"/>
  <c r="C19" i="6"/>
  <c r="K17" i="88" l="1"/>
  <c r="K26" i="88"/>
  <c r="K22" i="88"/>
  <c r="K18" i="88"/>
  <c r="K28" i="88"/>
  <c r="K24" i="88"/>
  <c r="K20" i="88"/>
  <c r="K33" i="88"/>
  <c r="K7" i="88"/>
  <c r="K8" i="88"/>
  <c r="K12" i="88"/>
  <c r="K16" i="88"/>
  <c r="K10" i="88"/>
  <c r="K14" i="88"/>
  <c r="K2" i="88"/>
  <c r="K31" i="88"/>
  <c r="K35" i="88"/>
  <c r="K38" i="88"/>
  <c r="K41" i="88"/>
  <c r="K29" i="88"/>
  <c r="K27" i="88"/>
  <c r="K25" i="88"/>
  <c r="K23" i="88"/>
  <c r="K21" i="88"/>
  <c r="K6" i="88"/>
  <c r="K15" i="88"/>
  <c r="K13" i="88"/>
  <c r="K11" i="88"/>
  <c r="K9" i="88"/>
  <c r="G45" i="83"/>
  <c r="K14" i="4"/>
  <c r="K13" i="4"/>
  <c r="D46" i="83" l="1"/>
  <c r="D47" i="83" s="1"/>
  <c r="D48" i="83" s="1"/>
  <c r="D49" i="83" s="1"/>
  <c r="D50" i="83" l="1"/>
  <c r="E24" i="83" l="1"/>
  <c r="E25" i="83"/>
  <c r="I47" i="84"/>
  <c r="V47" i="84" s="1"/>
  <c r="I33" i="84"/>
  <c r="G47" i="84"/>
  <c r="E47" i="84"/>
  <c r="G33" i="84"/>
  <c r="E33" i="84"/>
  <c r="C145" i="84"/>
  <c r="J142" i="84"/>
  <c r="J140" i="84"/>
  <c r="K139" i="84"/>
  <c r="B130" i="84"/>
  <c r="B128" i="84"/>
  <c r="B126" i="84"/>
  <c r="D125" i="84"/>
  <c r="E125" i="84" s="1"/>
  <c r="F125" i="84" s="1"/>
  <c r="G125" i="84" s="1"/>
  <c r="F123" i="84"/>
  <c r="G123" i="84" s="1"/>
  <c r="H123" i="84" s="1"/>
  <c r="I123" i="84" s="1"/>
  <c r="J123" i="84" s="1"/>
  <c r="K123" i="84" s="1"/>
  <c r="L123" i="84" s="1"/>
  <c r="M123" i="84" s="1"/>
  <c r="D123" i="84"/>
  <c r="E123" i="84" s="1"/>
  <c r="D119" i="84"/>
  <c r="E119" i="84" s="1"/>
  <c r="F119" i="84" s="1"/>
  <c r="G119" i="84" s="1"/>
  <c r="H119" i="84" s="1"/>
  <c r="I119" i="84" s="1"/>
  <c r="J119" i="84" s="1"/>
  <c r="K119" i="84" s="1"/>
  <c r="L119" i="84" s="1"/>
  <c r="M119" i="84" s="1"/>
  <c r="D117" i="84"/>
  <c r="E117" i="84" s="1"/>
  <c r="F117" i="84" s="1"/>
  <c r="G117" i="84" s="1"/>
  <c r="F115" i="84"/>
  <c r="G115" i="84" s="1"/>
  <c r="H115" i="84" s="1"/>
  <c r="I115" i="84" s="1"/>
  <c r="J115" i="84" s="1"/>
  <c r="K115" i="84" s="1"/>
  <c r="L115" i="84" s="1"/>
  <c r="M115" i="84" s="1"/>
  <c r="D115" i="84"/>
  <c r="E115" i="84" s="1"/>
  <c r="G113" i="84"/>
  <c r="H113" i="84" s="1"/>
  <c r="E113" i="84"/>
  <c r="F113" i="84" s="1"/>
  <c r="D113" i="84"/>
  <c r="H111" i="84"/>
  <c r="G111" i="84"/>
  <c r="F111" i="84"/>
  <c r="E111" i="84"/>
  <c r="D111" i="84"/>
  <c r="C111" i="84"/>
  <c r="G110" i="84"/>
  <c r="H110" i="84" s="1"/>
  <c r="I110" i="84" s="1"/>
  <c r="J110" i="84" s="1"/>
  <c r="K110" i="84" s="1"/>
  <c r="L110" i="84" s="1"/>
  <c r="M110" i="84" s="1"/>
  <c r="E110" i="84"/>
  <c r="F110" i="84" s="1"/>
  <c r="D110" i="84"/>
  <c r="G108" i="84"/>
  <c r="H108" i="84" s="1"/>
  <c r="I108" i="84" s="1"/>
  <c r="J108" i="84" s="1"/>
  <c r="K108" i="84" s="1"/>
  <c r="L108" i="84" s="1"/>
  <c r="M108" i="84" s="1"/>
  <c r="E108" i="84"/>
  <c r="F108" i="84" s="1"/>
  <c r="D108" i="84"/>
  <c r="G106" i="84"/>
  <c r="H106" i="84" s="1"/>
  <c r="I106" i="84" s="1"/>
  <c r="J106" i="84" s="1"/>
  <c r="K106" i="84" s="1"/>
  <c r="L106" i="84" s="1"/>
  <c r="M106" i="84" s="1"/>
  <c r="E106" i="84"/>
  <c r="F106" i="84" s="1"/>
  <c r="D106" i="84"/>
  <c r="M102" i="84"/>
  <c r="L102" i="84"/>
  <c r="K102" i="84"/>
  <c r="J102" i="84"/>
  <c r="I102" i="84"/>
  <c r="H102" i="84"/>
  <c r="G102" i="84"/>
  <c r="F102" i="84"/>
  <c r="E102" i="84"/>
  <c r="D102" i="84"/>
  <c r="C102" i="84"/>
  <c r="D101" i="84"/>
  <c r="E101" i="84" s="1"/>
  <c r="F101" i="84" s="1"/>
  <c r="G101" i="84" s="1"/>
  <c r="B98" i="84"/>
  <c r="B96" i="84"/>
  <c r="B94" i="84"/>
  <c r="B92" i="84"/>
  <c r="B90" i="84"/>
  <c r="D89" i="84"/>
  <c r="E89" i="84" s="1"/>
  <c r="F89" i="84" s="1"/>
  <c r="M87" i="84"/>
  <c r="L87" i="84"/>
  <c r="K87" i="84"/>
  <c r="J87" i="84"/>
  <c r="I87" i="84"/>
  <c r="H87" i="84"/>
  <c r="G87" i="84"/>
  <c r="F87" i="84"/>
  <c r="E87" i="84"/>
  <c r="D87" i="84"/>
  <c r="G85" i="84"/>
  <c r="E85" i="84"/>
  <c r="F85" i="84" s="1"/>
  <c r="D85" i="84"/>
  <c r="E83" i="84"/>
  <c r="F83" i="84" s="1"/>
  <c r="G83" i="84" s="1"/>
  <c r="D83" i="84"/>
  <c r="G81" i="84"/>
  <c r="E81" i="84"/>
  <c r="F81" i="84" s="1"/>
  <c r="D81" i="84"/>
  <c r="E79" i="84"/>
  <c r="F79" i="84" s="1"/>
  <c r="G79" i="84" s="1"/>
  <c r="D79" i="84"/>
  <c r="G77" i="84"/>
  <c r="E77" i="84"/>
  <c r="F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D66" i="84"/>
  <c r="C63" i="84"/>
  <c r="P49" i="84"/>
  <c r="P48" i="84"/>
  <c r="K48" i="84"/>
  <c r="P47" i="84"/>
  <c r="Q46" i="84"/>
  <c r="Z46" i="84" s="1"/>
  <c r="H46" i="84"/>
  <c r="AB46" i="84" s="1"/>
  <c r="AA45" i="84"/>
  <c r="Q45" i="84"/>
  <c r="Z45" i="84" s="1"/>
  <c r="J45" i="84"/>
  <c r="AC45" i="84" s="1"/>
  <c r="H45" i="84"/>
  <c r="AB45" i="84" s="1"/>
  <c r="F45" i="84"/>
  <c r="S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U41" i="84"/>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AC38" i="84"/>
  <c r="W38" i="84"/>
  <c r="Q38" i="84"/>
  <c r="Z38" i="84" s="1"/>
  <c r="J38" i="84"/>
  <c r="H38" i="84"/>
  <c r="AB38" i="84" s="1"/>
  <c r="F38" i="84"/>
  <c r="AA38" i="84" s="1"/>
  <c r="AB37" i="84"/>
  <c r="U37" i="84"/>
  <c r="Q37" i="84"/>
  <c r="Z37" i="84" s="1"/>
  <c r="I37" i="84"/>
  <c r="J37" i="84" s="1"/>
  <c r="G37" i="84"/>
  <c r="H37" i="84" s="1"/>
  <c r="E37" i="84"/>
  <c r="F37" i="84" s="1"/>
  <c r="Q36" i="84"/>
  <c r="Z36" i="84" s="1"/>
  <c r="J36" i="84"/>
  <c r="AC36" i="84" s="1"/>
  <c r="H36" i="84"/>
  <c r="AB36" i="84" s="1"/>
  <c r="F36" i="84"/>
  <c r="AA36" i="84" s="1"/>
  <c r="AC35" i="84"/>
  <c r="W35" i="84"/>
  <c r="Q35" i="84"/>
  <c r="Z35" i="84" s="1"/>
  <c r="J35" i="84"/>
  <c r="H35" i="84"/>
  <c r="AB35" i="84" s="1"/>
  <c r="F35" i="84"/>
  <c r="AA35" i="84" s="1"/>
  <c r="AB34" i="84"/>
  <c r="U34" i="84"/>
  <c r="Q34" i="84"/>
  <c r="Z34" i="84" s="1"/>
  <c r="J34" i="84"/>
  <c r="AC34" i="84" s="1"/>
  <c r="H34" i="84"/>
  <c r="F34" i="84"/>
  <c r="AA34" i="84" s="1"/>
  <c r="Q33" i="84"/>
  <c r="Z33" i="84" s="1"/>
  <c r="Q32" i="84"/>
  <c r="Z32" i="84" s="1"/>
  <c r="H32" i="84"/>
  <c r="AB32" i="84" s="1"/>
  <c r="AC31" i="84"/>
  <c r="W31" i="84"/>
  <c r="Q31" i="84"/>
  <c r="Z31" i="84" s="1"/>
  <c r="J31" i="84"/>
  <c r="H31" i="84"/>
  <c r="AB31" i="84" s="1"/>
  <c r="F31" i="84"/>
  <c r="AA31" i="84" s="1"/>
  <c r="AB30" i="84"/>
  <c r="U30" i="84"/>
  <c r="Q30" i="84"/>
  <c r="Z30" i="84" s="1"/>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AC13" i="84"/>
  <c r="W13" i="84"/>
  <c r="Q13" i="84"/>
  <c r="Z13" i="84" s="1"/>
  <c r="J13" i="84"/>
  <c r="H13" i="84"/>
  <c r="AB13" i="84" s="1"/>
  <c r="F13" i="84"/>
  <c r="AA13" i="84" s="1"/>
  <c r="AB12" i="84"/>
  <c r="U12" i="84"/>
  <c r="Q12" i="84"/>
  <c r="Z12" i="84" s="1"/>
  <c r="J12" i="84"/>
  <c r="AC12" i="84" s="1"/>
  <c r="H12" i="84"/>
  <c r="F12" i="84"/>
  <c r="AA12" i="84" s="1"/>
  <c r="Q11" i="84"/>
  <c r="Z11" i="84" s="1"/>
  <c r="J11" i="84"/>
  <c r="AC11" i="84" s="1"/>
  <c r="H11" i="84"/>
  <c r="AB11" i="84" s="1"/>
  <c r="F11" i="84"/>
  <c r="AA11" i="84" s="1"/>
  <c r="Q10" i="84"/>
  <c r="Z10" i="84" s="1"/>
  <c r="H10" i="84"/>
  <c r="AB10" i="84" s="1"/>
  <c r="AC9" i="84"/>
  <c r="W9" i="84"/>
  <c r="Q9" i="84"/>
  <c r="Z9" i="84" s="1"/>
  <c r="J9" i="84"/>
  <c r="H9" i="84"/>
  <c r="AB9" i="84" s="1"/>
  <c r="F9" i="84"/>
  <c r="AA9" i="84" s="1"/>
  <c r="W8" i="84"/>
  <c r="S8" i="84"/>
  <c r="J8" i="84"/>
  <c r="AC8" i="84" s="1"/>
  <c r="H8" i="84"/>
  <c r="U8" i="84" s="1"/>
  <c r="F8" i="84"/>
  <c r="AA8" i="84" s="1"/>
  <c r="I5" i="84"/>
  <c r="G5" i="84"/>
  <c r="E5" i="84"/>
  <c r="I33" i="80"/>
  <c r="G33" i="80"/>
  <c r="E33" i="80"/>
  <c r="D2" i="84"/>
  <c r="G89" i="84" l="1"/>
  <c r="H89" i="84" s="1"/>
  <c r="H26" i="84"/>
  <c r="AB26" i="84" s="1"/>
  <c r="G54" i="84"/>
  <c r="H54" i="84" s="1"/>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s="1"/>
  <c r="J10" i="84"/>
  <c r="F10" i="84"/>
  <c r="I89" i="84"/>
  <c r="J89" i="84" s="1"/>
  <c r="K89" i="84" s="1"/>
  <c r="L89" i="84" s="1"/>
  <c r="M89" i="84" s="1"/>
  <c r="N89" i="84" s="1"/>
  <c r="O89" i="84" s="1"/>
  <c r="P89" i="84" s="1"/>
  <c r="Q89" i="84" s="1"/>
  <c r="R89" i="84" s="1"/>
  <c r="J26" i="84"/>
  <c r="F26" i="84"/>
  <c r="H101" i="84"/>
  <c r="I101" i="84" s="1"/>
  <c r="J101" i="84" s="1"/>
  <c r="K101" i="84" s="1"/>
  <c r="L101" i="84" s="1"/>
  <c r="M101" i="84" s="1"/>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s="1"/>
  <c r="I54" i="84"/>
  <c r="J54" i="84" s="1"/>
  <c r="R47" i="84"/>
  <c r="S42" i="84"/>
  <c r="W42" i="84"/>
  <c r="U43" i="84"/>
  <c r="S44" i="84"/>
  <c r="W44" i="84"/>
  <c r="U45" i="84"/>
  <c r="U46" i="84"/>
  <c r="J46" i="84"/>
  <c r="F46" i="84"/>
  <c r="K143" i="84"/>
  <c r="K141" i="84"/>
  <c r="K144" i="84"/>
  <c r="K145" i="84"/>
  <c r="T47" i="84"/>
  <c r="U26" i="84" l="1"/>
  <c r="AA26" i="84"/>
  <c r="S26" i="84"/>
  <c r="AA46" i="84"/>
  <c r="S46" i="84"/>
  <c r="AC32" i="84"/>
  <c r="W32" i="84"/>
  <c r="AC10" i="84"/>
  <c r="W10" i="84"/>
  <c r="AC46" i="84"/>
  <c r="W46" i="84"/>
  <c r="AA32" i="84"/>
  <c r="S32" i="84"/>
  <c r="AC26" i="84"/>
  <c r="W26" i="84"/>
  <c r="AA10" i="84"/>
  <c r="S10" i="84"/>
  <c r="E47" i="80" l="1"/>
  <c r="G47" i="80"/>
  <c r="I47" i="80"/>
  <c r="I37" i="80"/>
  <c r="G37" i="80"/>
  <c r="E37" i="80"/>
  <c r="D66" i="80"/>
  <c r="E66" i="80" s="1"/>
  <c r="F66" i="80" s="1"/>
  <c r="G66" i="80" s="1"/>
  <c r="H66" i="80" s="1"/>
  <c r="I66" i="80" s="1"/>
  <c r="I5" i="80"/>
  <c r="G5" i="80"/>
  <c r="E5" i="80"/>
  <c r="Y6" i="1"/>
  <c r="F19" i="6"/>
  <c r="D3" i="4"/>
  <c r="C37" i="83"/>
  <c r="E29" i="83"/>
  <c r="C22" i="83"/>
  <c r="C21" i="83"/>
  <c r="E19" i="83" s="1"/>
  <c r="F19" i="83"/>
  <c r="C18" i="83"/>
  <c r="F16" i="83"/>
  <c r="E16" i="83"/>
  <c r="E15" i="83"/>
  <c r="C15" i="83"/>
  <c r="M10" i="83"/>
  <c r="P9" i="83"/>
  <c r="O10" i="83" s="1"/>
  <c r="M4" i="83"/>
  <c r="C33" i="84" l="1"/>
  <c r="C33" i="80"/>
  <c r="C145" i="80"/>
  <c r="J142" i="80"/>
  <c r="J140" i="80"/>
  <c r="K139" i="80"/>
  <c r="B130" i="80"/>
  <c r="H46" i="80" s="1"/>
  <c r="B128" i="80"/>
  <c r="H45" i="80" s="1"/>
  <c r="B126" i="80"/>
  <c r="H44" i="80" s="1"/>
  <c r="F125" i="80"/>
  <c r="G125" i="80" s="1"/>
  <c r="D125" i="80"/>
  <c r="E125" i="80" s="1"/>
  <c r="D123" i="80"/>
  <c r="E123" i="80" s="1"/>
  <c r="F123" i="80" s="1"/>
  <c r="G123" i="80" s="1"/>
  <c r="H123" i="80" s="1"/>
  <c r="I123" i="80" s="1"/>
  <c r="J123" i="80" s="1"/>
  <c r="K123" i="80" s="1"/>
  <c r="L123" i="80" s="1"/>
  <c r="M123" i="80" s="1"/>
  <c r="F119" i="80"/>
  <c r="G119" i="80" s="1"/>
  <c r="H119" i="80" s="1"/>
  <c r="I119" i="80" s="1"/>
  <c r="J119" i="80" s="1"/>
  <c r="K119" i="80" s="1"/>
  <c r="L119" i="80" s="1"/>
  <c r="M119" i="80" s="1"/>
  <c r="D119" i="80"/>
  <c r="E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E110" i="80"/>
  <c r="F110" i="80" s="1"/>
  <c r="G110" i="80" s="1"/>
  <c r="H110" i="80" s="1"/>
  <c r="I110" i="80" s="1"/>
  <c r="J110" i="80" s="1"/>
  <c r="K110" i="80" s="1"/>
  <c r="L110" i="80" s="1"/>
  <c r="M110" i="80" s="1"/>
  <c r="D110"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H27" i="80" s="1"/>
  <c r="AB27" i="80" s="1"/>
  <c r="D89" i="80"/>
  <c r="E89" i="80" s="1"/>
  <c r="F89" i="80" s="1"/>
  <c r="G89" i="80" s="1"/>
  <c r="H89" i="80" s="1"/>
  <c r="M87" i="80"/>
  <c r="L87" i="80"/>
  <c r="K87" i="80"/>
  <c r="J87" i="80"/>
  <c r="I87" i="80"/>
  <c r="H87" i="80"/>
  <c r="G87" i="80"/>
  <c r="F87" i="80"/>
  <c r="E87" i="80"/>
  <c r="D87" i="80"/>
  <c r="E85" i="80"/>
  <c r="F85" i="80" s="1"/>
  <c r="G85" i="80" s="1"/>
  <c r="D85" i="80"/>
  <c r="D83" i="80"/>
  <c r="E83" i="80" s="1"/>
  <c r="F83" i="80" s="1"/>
  <c r="G83" i="80" s="1"/>
  <c r="E81" i="80"/>
  <c r="F81" i="80" s="1"/>
  <c r="G81" i="80" s="1"/>
  <c r="D81" i="80"/>
  <c r="E79" i="80"/>
  <c r="F79" i="80" s="1"/>
  <c r="G79" i="80" s="1"/>
  <c r="D79" i="80"/>
  <c r="D77" i="80"/>
  <c r="E77" i="80" s="1"/>
  <c r="F77" i="80" s="1"/>
  <c r="G77" i="80" s="1"/>
  <c r="B74" i="80"/>
  <c r="B72" i="80"/>
  <c r="H13" i="80" s="1"/>
  <c r="AB13" i="80" s="1"/>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Z45" i="80"/>
  <c r="Q45" i="80"/>
  <c r="J45" i="80"/>
  <c r="AC45" i="80" s="1"/>
  <c r="F45" i="80"/>
  <c r="AA45" i="80" s="1"/>
  <c r="Q44" i="80"/>
  <c r="Z44" i="80" s="1"/>
  <c r="J44" i="80"/>
  <c r="AC44" i="80" s="1"/>
  <c r="Q43" i="80"/>
  <c r="Z43" i="80" s="1"/>
  <c r="J43" i="80"/>
  <c r="AC43" i="80" s="1"/>
  <c r="H43" i="80"/>
  <c r="AB43" i="80" s="1"/>
  <c r="F43" i="80"/>
  <c r="AA43" i="80" s="1"/>
  <c r="Q42" i="80"/>
  <c r="Z42" i="80" s="1"/>
  <c r="H42" i="80"/>
  <c r="AB42" i="80" s="1"/>
  <c r="Q41" i="80"/>
  <c r="Z41" i="80" s="1"/>
  <c r="J41" i="80"/>
  <c r="AC41" i="80" s="1"/>
  <c r="H41" i="80"/>
  <c r="U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W38" i="80" s="1"/>
  <c r="H38" i="80"/>
  <c r="AB38" i="80" s="1"/>
  <c r="F38" i="80"/>
  <c r="AA38" i="80" s="1"/>
  <c r="Q37" i="80"/>
  <c r="Z37" i="80" s="1"/>
  <c r="H37" i="80"/>
  <c r="U37" i="80" s="1"/>
  <c r="Q36" i="80"/>
  <c r="Z36" i="80" s="1"/>
  <c r="J36" i="80"/>
  <c r="AC36" i="80" s="1"/>
  <c r="F36" i="80"/>
  <c r="AA36" i="80" s="1"/>
  <c r="Q35" i="80"/>
  <c r="Z35" i="80" s="1"/>
  <c r="J35" i="80"/>
  <c r="AC35" i="80" s="1"/>
  <c r="H35" i="80"/>
  <c r="AB35" i="80" s="1"/>
  <c r="F35" i="80"/>
  <c r="AA35" i="80" s="1"/>
  <c r="Q34" i="80"/>
  <c r="Z34" i="80" s="1"/>
  <c r="J34" i="80"/>
  <c r="W34" i="80" s="1"/>
  <c r="H34" i="80"/>
  <c r="AB34" i="80" s="1"/>
  <c r="F34" i="80"/>
  <c r="AA34" i="80" s="1"/>
  <c r="Q33" i="80"/>
  <c r="Z33" i="80" s="1"/>
  <c r="J33" i="80"/>
  <c r="AC33" i="80" s="1"/>
  <c r="H33" i="80"/>
  <c r="U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W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F27" i="80"/>
  <c r="AA27" i="80" s="1"/>
  <c r="Q26" i="80"/>
  <c r="Z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Q12" i="80"/>
  <c r="Z12" i="80" s="1"/>
  <c r="J12" i="80"/>
  <c r="AC12" i="80" s="1"/>
  <c r="H12" i="80"/>
  <c r="AB12" i="80" s="1"/>
  <c r="F12" i="80"/>
  <c r="AA12" i="80" s="1"/>
  <c r="Q11" i="80"/>
  <c r="Z11" i="80" s="1"/>
  <c r="H11" i="80"/>
  <c r="AB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D2" i="80"/>
  <c r="H33" i="84" l="1"/>
  <c r="J33" i="84"/>
  <c r="F33" i="84"/>
  <c r="F42" i="80"/>
  <c r="AA42" i="80" s="1"/>
  <c r="J42" i="80"/>
  <c r="W42" i="80" s="1"/>
  <c r="F37" i="80"/>
  <c r="AA37" i="80" s="1"/>
  <c r="J37" i="80"/>
  <c r="AC37" i="80" s="1"/>
  <c r="H36" i="80"/>
  <c r="AB36" i="80" s="1"/>
  <c r="I89" i="80"/>
  <c r="J89" i="80" s="1"/>
  <c r="K89" i="80" s="1"/>
  <c r="L89" i="80" s="1"/>
  <c r="M89" i="80" s="1"/>
  <c r="N89" i="80" s="1"/>
  <c r="O89" i="80" s="1"/>
  <c r="P89" i="80" s="1"/>
  <c r="Q89" i="80" s="1"/>
  <c r="R89" i="80" s="1"/>
  <c r="F26" i="80"/>
  <c r="AA26" i="80" s="1"/>
  <c r="H26" i="80"/>
  <c r="AB26" i="80" s="1"/>
  <c r="J26" i="80"/>
  <c r="AC26" i="80" s="1"/>
  <c r="AC38" i="80"/>
  <c r="AC42" i="80"/>
  <c r="AC34" i="80"/>
  <c r="U28" i="80"/>
  <c r="F11" i="80"/>
  <c r="AA11" i="80" s="1"/>
  <c r="J11" i="80"/>
  <c r="AC11" i="80" s="1"/>
  <c r="F13" i="80"/>
  <c r="AA13" i="80" s="1"/>
  <c r="W44" i="80"/>
  <c r="W46" i="80"/>
  <c r="F44" i="80"/>
  <c r="AA44" i="80" s="1"/>
  <c r="F46" i="80"/>
  <c r="S46" i="80" s="1"/>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W33" i="84" l="1"/>
  <c r="AC33" i="84"/>
  <c r="AA33" i="84"/>
  <c r="S33" i="84"/>
  <c r="AB33" i="84"/>
  <c r="U33" i="84"/>
  <c r="S42" i="80"/>
  <c r="S44" i="80"/>
  <c r="W26" i="80"/>
  <c r="U26" i="80"/>
  <c r="U36" i="80"/>
  <c r="S26" i="80"/>
  <c r="S13" i="80"/>
  <c r="P28" i="79"/>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U23" i="79" s="1"/>
  <c r="M29" i="79"/>
  <c r="L29" i="79"/>
  <c r="L23" i="79" s="1"/>
  <c r="I29" i="79"/>
  <c r="AB25" i="79"/>
  <c r="AB23" i="79" s="1"/>
  <c r="AA25" i="79"/>
  <c r="Z25" i="79"/>
  <c r="N25" i="79"/>
  <c r="M25" i="79"/>
  <c r="T25" i="79" s="1"/>
  <c r="W25" i="79" s="1"/>
  <c r="L25" i="79"/>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9" i="79" l="1"/>
  <c r="S7" i="79"/>
  <c r="S8" i="79"/>
  <c r="S6" i="79"/>
  <c r="U9" i="79"/>
  <c r="U8" i="79"/>
  <c r="U7" i="79"/>
  <c r="U6" i="79"/>
  <c r="L3" i="79"/>
  <c r="N3" i="79"/>
  <c r="S3" i="79"/>
  <c r="U3" i="79"/>
  <c r="AA3" i="79"/>
  <c r="AD3" i="79" s="1"/>
  <c r="R5" i="79"/>
  <c r="T5" i="79"/>
  <c r="W5" i="79" s="1"/>
  <c r="V5" i="79"/>
  <c r="R8" i="79"/>
  <c r="R7" i="79"/>
  <c r="R6" i="79"/>
  <c r="P9" i="79"/>
  <c r="T7" i="79"/>
  <c r="W7" i="79" s="1"/>
  <c r="T8" i="79"/>
  <c r="W8" i="79" s="1"/>
  <c r="T6" i="79"/>
  <c r="W6" i="79" s="1"/>
  <c r="V9" i="79"/>
  <c r="V6" i="79"/>
  <c r="V8" i="79"/>
  <c r="V7" i="79"/>
  <c r="S10" i="79"/>
  <c r="U10" i="79"/>
  <c r="R11" i="79"/>
  <c r="V11" i="79"/>
  <c r="S12" i="79"/>
  <c r="U12" i="79"/>
  <c r="S13" i="79"/>
  <c r="U13" i="79"/>
  <c r="N23" i="79"/>
  <c r="AD29" i="79"/>
  <c r="T28" i="79"/>
  <c r="W28" i="79" s="1"/>
  <c r="T26" i="79"/>
  <c r="W26" i="79" s="1"/>
  <c r="T27" i="79"/>
  <c r="W27" i="79" s="1"/>
  <c r="S30" i="79"/>
  <c r="U30" i="79"/>
  <c r="AD31" i="79"/>
  <c r="T31" i="79"/>
  <c r="W31" i="79" s="1"/>
  <c r="S32" i="79"/>
  <c r="U32" i="79"/>
  <c r="AD33" i="79"/>
  <c r="T33" i="79"/>
  <c r="W33" i="79" s="1"/>
  <c r="S34" i="79"/>
  <c r="U34" i="79"/>
  <c r="AD35" i="79"/>
  <c r="S27" i="79"/>
  <c r="S28"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c r="Z32" i="71" s="1"/>
  <c r="N32" i="7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N68" i="71"/>
  <c r="C30" i="71"/>
  <c r="AB29" i="71"/>
  <c r="AA31" i="71"/>
  <c r="C34" i="71"/>
  <c r="C35" i="71"/>
  <c r="X35" i="71"/>
  <c r="C38" i="71"/>
  <c r="D38" i="71" s="1"/>
  <c r="Y37" i="71"/>
  <c r="Z37" i="71"/>
  <c r="F51" i="71"/>
  <c r="F52" i="71" s="1"/>
  <c r="V52" i="71" s="1"/>
  <c r="Y25" i="71"/>
  <c r="Z25" i="71" s="1"/>
  <c r="Y27" i="71"/>
  <c r="Z27" i="71" s="1"/>
  <c r="B28" i="71"/>
  <c r="B27" i="71" s="1"/>
  <c r="B26" i="71" s="1"/>
  <c r="X26" i="71"/>
  <c r="C31" i="71"/>
  <c r="D30" i="71"/>
  <c r="D34" i="71"/>
  <c r="C43" i="71"/>
  <c r="C44" i="71" s="1"/>
  <c r="C47" i="71"/>
  <c r="D47" i="71" s="1"/>
  <c r="D46" i="71"/>
  <c r="D50" i="71"/>
  <c r="P28" i="71"/>
  <c r="E55" i="71"/>
  <c r="E56" i="71" s="1"/>
  <c r="U56" i="71" s="1"/>
  <c r="E59" i="71"/>
  <c r="E60" i="71"/>
  <c r="U60" i="71" s="1"/>
  <c r="E63" i="71"/>
  <c r="E64" i="71" s="1"/>
  <c r="U64" i="71" s="1"/>
  <c r="U68" i="71"/>
  <c r="E67" i="71"/>
  <c r="Q28" i="7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H1" i="69"/>
  <c r="W25" i="40"/>
  <c r="U25" i="40"/>
  <c r="U29" i="39"/>
  <c r="W29" i="39"/>
  <c r="W18" i="36"/>
  <c r="AB21" i="37"/>
  <c r="U21" i="37"/>
  <c r="S21" i="37"/>
  <c r="U21" i="34"/>
  <c r="AB21" i="33"/>
  <c r="AA21" i="33"/>
  <c r="U18" i="35"/>
  <c r="AC18" i="35"/>
  <c r="W18" i="35"/>
  <c r="J21" i="37"/>
  <c r="W21" i="37" s="1"/>
  <c r="J21" i="34"/>
  <c r="W21" i="34" s="1"/>
  <c r="J21" i="33"/>
  <c r="W21" i="33" s="1"/>
  <c r="F38" i="69"/>
  <c r="E37" i="69"/>
  <c r="F36" i="69"/>
  <c r="F35" i="69"/>
  <c r="F21" i="69"/>
  <c r="F40" i="69" s="1"/>
  <c r="F20" i="69"/>
  <c r="F39" i="69" s="1"/>
  <c r="E10" i="69"/>
  <c r="E9" i="69"/>
  <c r="AC21" i="37"/>
  <c r="AC21" i="34"/>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B10" i="1" s="1"/>
  <c r="E10" i="1" s="1"/>
  <c r="A11" i="1"/>
  <c r="B11" i="1" s="1"/>
  <c r="E11" i="1" s="1"/>
  <c r="A12" i="1"/>
  <c r="K12" i="1" s="1"/>
  <c r="M12" i="1" s="1"/>
  <c r="A13" i="1"/>
  <c r="A6" i="1"/>
  <c r="F3" i="35" s="1"/>
  <c r="B13" i="1"/>
  <c r="E13" i="1" s="1"/>
  <c r="K13" i="1"/>
  <c r="M13" i="1" s="1"/>
  <c r="O13" i="1" s="1"/>
  <c r="P13" i="1" s="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s="1"/>
  <c r="F85" i="33" s="1"/>
  <c r="G85" i="33" s="1"/>
  <c r="D81" i="33"/>
  <c r="E81" i="33" s="1"/>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s="1"/>
  <c r="G103" i="37"/>
  <c r="H103" i="37" s="1"/>
  <c r="I103" i="37" s="1"/>
  <c r="J103" i="37" s="1"/>
  <c r="K103" i="37" s="1"/>
  <c r="L103" i="37" s="1"/>
  <c r="M103" i="37" s="1"/>
  <c r="F39" i="37"/>
  <c r="S39" i="37"/>
  <c r="U14" i="37"/>
  <c r="F29" i="36"/>
  <c r="AA29" i="36" s="1"/>
  <c r="F16" i="36"/>
  <c r="AA16" i="36"/>
  <c r="W28" i="36"/>
  <c r="J33" i="36"/>
  <c r="AC33" i="36" s="1"/>
  <c r="H22" i="35"/>
  <c r="AB22" i="35"/>
  <c r="AC27" i="35"/>
  <c r="W28" i="35"/>
  <c r="U31" i="35"/>
  <c r="S34" i="35"/>
  <c r="W36" i="35"/>
  <c r="W22" i="35"/>
  <c r="S31" i="35"/>
  <c r="F36" i="34"/>
  <c r="J35" i="34"/>
  <c r="W9" i="34"/>
  <c r="U34" i="34"/>
  <c r="H39" i="33"/>
  <c r="AB39" i="33" s="1"/>
  <c r="F26" i="33"/>
  <c r="S40"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4" i="39"/>
  <c r="H34" i="39"/>
  <c r="U34" i="39" s="1"/>
  <c r="E108" i="39"/>
  <c r="H31" i="39"/>
  <c r="AB31" i="39" s="1"/>
  <c r="F31" i="39"/>
  <c r="AA31"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AC31" i="39" s="1"/>
  <c r="F100" i="39"/>
  <c r="H27" i="39"/>
  <c r="U27" i="39" s="1"/>
  <c r="J19" i="39"/>
  <c r="AC19" i="39" s="1"/>
  <c r="J17" i="39"/>
  <c r="AC17" i="39" s="1"/>
  <c r="J27" i="39"/>
  <c r="AC27" i="39" s="1"/>
  <c r="F27" i="39"/>
  <c r="S27" i="39" s="1"/>
  <c r="C25" i="39"/>
  <c r="C27" i="39"/>
  <c r="C21" i="39"/>
  <c r="H11" i="39"/>
  <c r="U11" i="39" s="1"/>
  <c r="S40" i="39"/>
  <c r="C15" i="39"/>
  <c r="H37" i="40"/>
  <c r="U37" i="40"/>
  <c r="H36" i="40"/>
  <c r="AB36" i="40"/>
  <c r="F35" i="40"/>
  <c r="AA35" i="40"/>
  <c r="H23" i="40"/>
  <c r="AB23" i="40"/>
  <c r="H17" i="40"/>
  <c r="U17" i="40"/>
  <c r="J15" i="40"/>
  <c r="W15" i="40"/>
  <c r="J11" i="40"/>
  <c r="W11" i="40"/>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H37" i="33"/>
  <c r="AB37" i="33" s="1"/>
  <c r="H15" i="33"/>
  <c r="AB15" i="33" s="1"/>
  <c r="H11" i="33"/>
  <c r="AB11" i="33" s="1"/>
  <c r="F28" i="40"/>
  <c r="AA28" i="40" s="1"/>
  <c r="AA29" i="35"/>
  <c r="AA42" i="34"/>
  <c r="S42" i="34"/>
  <c r="AA38" i="34"/>
  <c r="J37" i="34"/>
  <c r="AC37" i="34" s="1"/>
  <c r="J11" i="33"/>
  <c r="W11" i="33" s="1"/>
  <c r="S28" i="34"/>
  <c r="U23" i="40"/>
  <c r="J44" i="34"/>
  <c r="F44" i="34"/>
  <c r="AA44" i="34"/>
  <c r="J10" i="35"/>
  <c r="AC10" i="35" s="1"/>
  <c r="BL587" i="3"/>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AA27" i="33"/>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J29" i="34"/>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36" i="37"/>
  <c r="AC36" i="37" s="1"/>
  <c r="G105" i="37"/>
  <c r="J10" i="36"/>
  <c r="AC10" i="36" s="1"/>
  <c r="AA14" i="37"/>
  <c r="AC13" i="36"/>
  <c r="W13" i="36"/>
  <c r="S11" i="36"/>
  <c r="AB46" i="34"/>
  <c r="AC30" i="34"/>
  <c r="AA14" i="34"/>
  <c r="S45" i="33"/>
  <c r="AB31" i="33"/>
  <c r="W29" i="33"/>
  <c r="S44" i="34"/>
  <c r="BA585" i="3"/>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28" i="3"/>
  <c r="AZ526" i="3"/>
  <c r="BA520" i="3"/>
  <c r="AZ520" i="3" s="1"/>
  <c r="AZ518" i="3"/>
  <c r="AZ516" i="3"/>
  <c r="BA512" i="3"/>
  <c r="AZ512" i="3" s="1"/>
  <c r="BA510" i="3"/>
  <c r="AZ510" i="3" s="1"/>
  <c r="BA508" i="3"/>
  <c r="BA504" i="3"/>
  <c r="AZ504" i="3" s="1"/>
  <c r="BA502" i="3"/>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17" i="37"/>
  <c r="U17" i="37"/>
  <c r="AA36" i="39"/>
  <c r="F39" i="33"/>
  <c r="AA39" i="33" s="1"/>
  <c r="E123" i="33"/>
  <c r="F123" i="33" s="1"/>
  <c r="G123" i="33" s="1"/>
  <c r="H123" i="33" s="1"/>
  <c r="I123" i="33" s="1"/>
  <c r="J123" i="33" s="1"/>
  <c r="K123" i="33" s="1"/>
  <c r="L123" i="33" s="1"/>
  <c r="M123" i="33" s="1"/>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J43" i="33"/>
  <c r="AC43" i="33" s="1"/>
  <c r="S28" i="31"/>
  <c r="S27" i="31"/>
  <c r="S26" i="31"/>
  <c r="U14" i="40"/>
  <c r="AA12" i="35"/>
  <c r="W14" i="37"/>
  <c r="AB28" i="37"/>
  <c r="U33" i="37"/>
  <c r="U39" i="37"/>
  <c r="W26" i="37"/>
  <c r="AC36" i="34"/>
  <c r="AA13" i="33"/>
  <c r="AC31" i="33"/>
  <c r="AC45" i="33"/>
  <c r="U11" i="33"/>
  <c r="W15" i="34"/>
  <c r="W16" i="35"/>
  <c r="G107" i="37"/>
  <c r="H107" i="37" s="1"/>
  <c r="I107" i="37"/>
  <c r="J107" i="37" s="1"/>
  <c r="K107" i="37" s="1"/>
  <c r="L107" i="37" s="1"/>
  <c r="M107" i="37" s="1"/>
  <c r="H19" i="34"/>
  <c r="AB19" i="34"/>
  <c r="F36" i="35"/>
  <c r="S36" i="35"/>
  <c r="H9" i="37"/>
  <c r="U9" i="37" s="1"/>
  <c r="J12" i="37"/>
  <c r="F12" i="37"/>
  <c r="S12" i="37" s="1"/>
  <c r="E71" i="37"/>
  <c r="F15" i="37"/>
  <c r="AA15" i="37" s="1"/>
  <c r="E94" i="37"/>
  <c r="F94" i="37" s="1"/>
  <c r="G94" i="37" s="1"/>
  <c r="H94" i="37" s="1"/>
  <c r="I94" i="37" s="1"/>
  <c r="J94" i="37" s="1"/>
  <c r="K94" i="37" s="1"/>
  <c r="L94" i="37" s="1"/>
  <c r="M94" i="37" s="1"/>
  <c r="F31" i="37"/>
  <c r="S31" i="37"/>
  <c r="J42" i="39"/>
  <c r="AC42" i="39" s="1"/>
  <c r="H21" i="40"/>
  <c r="AB21" i="40"/>
  <c r="H31" i="37"/>
  <c r="U31" i="37" s="1"/>
  <c r="F71" i="37"/>
  <c r="G71" i="37" s="1"/>
  <c r="J15" i="37"/>
  <c r="W15" i="37" s="1"/>
  <c r="AT6" i="3"/>
  <c r="H5" i="3"/>
  <c r="H19" i="40"/>
  <c r="U19" i="40" s="1"/>
  <c r="F88" i="40"/>
  <c r="G88" i="40" s="1"/>
  <c r="F19" i="40"/>
  <c r="S19" i="40" s="1"/>
  <c r="S14" i="40"/>
  <c r="AC13" i="40"/>
  <c r="AB33" i="40"/>
  <c r="AB44" i="39"/>
  <c r="U44" i="39"/>
  <c r="G100" i="39"/>
  <c r="H37" i="39"/>
  <c r="AB37" i="39"/>
  <c r="AC37" i="39"/>
  <c r="W37" i="39"/>
  <c r="H25" i="39"/>
  <c r="AB25" i="39" s="1"/>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F11" i="39"/>
  <c r="AA11" i="39" s="1"/>
  <c r="G4" i="4"/>
  <c r="I4" i="4"/>
  <c r="A2" i="9"/>
  <c r="F61" i="43"/>
  <c r="H64" i="43" s="1"/>
  <c r="AZ20" i="3"/>
  <c r="AZ24" i="3"/>
  <c r="AZ28" i="3"/>
  <c r="AZ32" i="3"/>
  <c r="BL549" i="3"/>
  <c r="AZ494"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394" i="3"/>
  <c r="G509" i="3"/>
  <c r="BL493" i="3"/>
  <c r="AZ491" i="3"/>
  <c r="AZ376" i="3"/>
  <c r="AZ390" i="3"/>
  <c r="AZ493" i="3"/>
  <c r="U36" i="40"/>
  <c r="F83" i="43"/>
  <c r="H85" i="43" s="1"/>
  <c r="F50" i="43"/>
  <c r="H54" i="43" s="1"/>
  <c r="F72" i="43"/>
  <c r="H75" i="43" s="1"/>
  <c r="S14" i="35"/>
  <c r="G8" i="1"/>
  <c r="G10" i="1"/>
  <c r="W37" i="37"/>
  <c r="W44" i="34"/>
  <c r="AC44" i="34"/>
  <c r="S15" i="37"/>
  <c r="U13" i="37"/>
  <c r="U12" i="40"/>
  <c r="AA12" i="40"/>
  <c r="J37" i="33"/>
  <c r="W37" i="33" s="1"/>
  <c r="AC17" i="34"/>
  <c r="F33" i="34"/>
  <c r="S33" i="34"/>
  <c r="W12" i="36"/>
  <c r="AC12" i="36"/>
  <c r="H20" i="36"/>
  <c r="U20" i="36"/>
  <c r="J20" i="36"/>
  <c r="W20"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B34" i="36"/>
  <c r="U34" i="36"/>
  <c r="AB33" i="36"/>
  <c r="U33" i="36"/>
  <c r="AC39" i="40"/>
  <c r="W39" i="40"/>
  <c r="AZ401" i="3"/>
  <c r="AZ412" i="3"/>
  <c r="AZ417" i="3"/>
  <c r="AZ428" i="3"/>
  <c r="AZ433" i="3"/>
  <c r="AZ465" i="3"/>
  <c r="AA32" i="36"/>
  <c r="S32" i="36"/>
  <c r="AZ550" i="3"/>
  <c r="AZ408" i="3"/>
  <c r="AZ437" i="3"/>
  <c r="AZ441" i="3"/>
  <c r="AZ457" i="3"/>
  <c r="AZ473" i="3"/>
  <c r="AZ490" i="3"/>
  <c r="AA39" i="34"/>
  <c r="F28" i="6"/>
  <c r="BL14" i="3"/>
  <c r="AZ266" i="3"/>
  <c r="U30" i="33"/>
  <c r="W28" i="37"/>
  <c r="F12" i="33"/>
  <c r="S12" i="33"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AZ80" i="3"/>
  <c r="AZ84" i="3"/>
  <c r="AZ88" i="3"/>
  <c r="AZ107" i="3"/>
  <c r="AZ111" i="3"/>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U19" i="39"/>
  <c r="S9" i="39"/>
  <c r="U14"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S25"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S23" i="34"/>
  <c r="U15" i="34"/>
  <c r="H10" i="34"/>
  <c r="AB10" i="34" s="1"/>
  <c r="F11" i="34"/>
  <c r="S11" i="34" s="1"/>
  <c r="F70" i="34"/>
  <c r="W42" i="33"/>
  <c r="S27" i="33"/>
  <c r="AA29" i="33"/>
  <c r="AB29" i="33"/>
  <c r="H41" i="33"/>
  <c r="AB41" i="33" s="1"/>
  <c r="F36" i="33"/>
  <c r="AA36" i="33" s="1"/>
  <c r="S37" i="33"/>
  <c r="AA37" i="33"/>
  <c r="J32" i="33"/>
  <c r="W32" i="33" s="1"/>
  <c r="F91" i="33"/>
  <c r="G91" i="33" s="1"/>
  <c r="H91" i="33" s="1"/>
  <c r="I91" i="33" s="1"/>
  <c r="J91" i="33" s="1"/>
  <c r="K91" i="33" s="1"/>
  <c r="L91" i="33" s="1"/>
  <c r="M91" i="33" s="1"/>
  <c r="H27" i="33"/>
  <c r="AB27" i="33" s="1"/>
  <c r="J23" i="33"/>
  <c r="W23" i="33" s="1"/>
  <c r="H23" i="33"/>
  <c r="U23" i="33" s="1"/>
  <c r="F19" i="33"/>
  <c r="S19" i="33" s="1"/>
  <c r="W19" i="33"/>
  <c r="J17" i="33"/>
  <c r="AC17" i="33" s="1"/>
  <c r="F79" i="33"/>
  <c r="G79" i="33" s="1"/>
  <c r="U9" i="33"/>
  <c r="J10" i="33"/>
  <c r="W10" i="33" s="1"/>
  <c r="H10" i="33"/>
  <c r="U10" i="33" s="1"/>
  <c r="AC11" i="33"/>
  <c r="D120" i="9"/>
  <c r="D121" i="9" s="1"/>
  <c r="D7" i="52" s="1"/>
  <c r="C18" i="9"/>
  <c r="D18" i="9" s="1"/>
  <c r="F34" i="15"/>
  <c r="F62" i="15" s="1"/>
  <c r="G13" i="3"/>
  <c r="BA13" i="3"/>
  <c r="BL17" i="3"/>
  <c r="AZ17" i="3"/>
  <c r="BL13" i="3"/>
  <c r="J56" i="9"/>
  <c r="J57" i="9" s="1"/>
  <c r="J59" i="9" s="1"/>
  <c r="J61" i="9" s="1"/>
  <c r="A24" i="51"/>
  <c r="B18" i="72" s="1"/>
  <c r="E5" i="6"/>
  <c r="E32" i="6"/>
  <c r="K1" i="12"/>
  <c r="E19" i="68"/>
  <c r="E1" i="73"/>
  <c r="G22" i="69"/>
  <c r="G22" i="68"/>
  <c r="G26" i="12"/>
  <c r="G22" i="11"/>
  <c r="C6" i="43"/>
  <c r="B19" i="53"/>
  <c r="B37" i="72" s="1"/>
  <c r="C7" i="39"/>
  <c r="C67" i="39" s="1"/>
  <c r="C7" i="35"/>
  <c r="C48" i="35" s="1"/>
  <c r="D48" i="35" s="1"/>
  <c r="C7" i="33"/>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B11" i="39"/>
  <c r="AA27" i="39"/>
  <c r="W17" i="39"/>
  <c r="W31"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S33" i="33"/>
  <c r="U44" i="33"/>
  <c r="AB44" i="33"/>
  <c r="S30" i="33"/>
  <c r="AA30" i="33"/>
  <c r="AC30" i="33"/>
  <c r="W30" i="33"/>
  <c r="S31" i="33"/>
  <c r="AA31" i="33"/>
  <c r="W13" i="33"/>
  <c r="AC13" i="33"/>
  <c r="AC28" i="33"/>
  <c r="W9" i="33"/>
  <c r="W8" i="33"/>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AA12" i="33"/>
  <c r="D68" i="9"/>
  <c r="J32" i="39"/>
  <c r="W32" i="39" s="1"/>
  <c r="H32" i="39"/>
  <c r="AB32" i="39" s="1"/>
  <c r="AA32" i="39"/>
  <c r="AC17" i="37"/>
  <c r="S17" i="37"/>
  <c r="J19" i="37"/>
  <c r="G75" i="37"/>
  <c r="S19" i="37"/>
  <c r="AA19" i="37"/>
  <c r="AA23" i="37"/>
  <c r="J23" i="37"/>
  <c r="G79" i="37"/>
  <c r="J10" i="37"/>
  <c r="W10" i="37" s="1"/>
  <c r="G63" i="37"/>
  <c r="H11" i="37"/>
  <c r="AB11" i="37" s="1"/>
  <c r="G70" i="34"/>
  <c r="H11" i="34"/>
  <c r="U11" i="34" s="1"/>
  <c r="J10" i="34"/>
  <c r="AC10" i="34" s="1"/>
  <c r="U41" i="33"/>
  <c r="J36" i="33"/>
  <c r="W36" i="33" s="1"/>
  <c r="H36" i="33"/>
  <c r="U36" i="33" s="1"/>
  <c r="J27" i="33"/>
  <c r="W27" i="33" s="1"/>
  <c r="F23" i="33"/>
  <c r="S23" i="33" s="1"/>
  <c r="H19" i="33"/>
  <c r="U19" i="33" s="1"/>
  <c r="H17" i="33"/>
  <c r="AB17" i="33" s="1"/>
  <c r="F17" i="33"/>
  <c r="W17" i="33"/>
  <c r="D6" i="52"/>
  <c r="AP7" i="1"/>
  <c r="A18" i="62"/>
  <c r="B64" i="72" s="1"/>
  <c r="U32" i="39"/>
  <c r="W19" i="37"/>
  <c r="AC19" i="37"/>
  <c r="W23" i="37"/>
  <c r="AC23" i="37"/>
  <c r="H63" i="37"/>
  <c r="I63" i="37" s="1"/>
  <c r="J63" i="37" s="1"/>
  <c r="K63" i="37" s="1"/>
  <c r="L63" i="37" s="1"/>
  <c r="M63" i="37" s="1"/>
  <c r="J11" i="37"/>
  <c r="AC11" i="37" s="1"/>
  <c r="H70" i="34"/>
  <c r="I70" i="34"/>
  <c r="J70" i="34" s="1"/>
  <c r="K70" i="34" s="1"/>
  <c r="L70" i="34" s="1"/>
  <c r="M70" i="34" s="1"/>
  <c r="J11" i="34"/>
  <c r="W11" i="34" s="1"/>
  <c r="AA23" i="33"/>
  <c r="AA17" i="33"/>
  <c r="S17" i="33"/>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E2" i="68"/>
  <c r="M8" i="67"/>
  <c r="M6" i="67"/>
  <c r="F5" i="73"/>
  <c r="L48" i="15"/>
  <c r="M28" i="67"/>
  <c r="F16" i="67"/>
  <c r="M28" i="15"/>
  <c r="J15" i="15"/>
  <c r="C76" i="15"/>
  <c r="F42" i="67"/>
  <c r="M29" i="67"/>
  <c r="F42" i="15"/>
  <c r="M9" i="67"/>
  <c r="F43" i="15"/>
  <c r="F9" i="67"/>
  <c r="C76" i="67"/>
  <c r="F38" i="15"/>
  <c r="L47" i="15"/>
  <c r="D7" i="73"/>
  <c r="F37" i="15"/>
  <c r="B7" i="76"/>
  <c r="F43" i="67"/>
  <c r="E13" i="76"/>
  <c r="E7" i="76"/>
  <c r="AO13" i="1"/>
  <c r="M24" i="67"/>
  <c r="F26" i="15"/>
  <c r="E12" i="76"/>
  <c r="F20" i="31"/>
  <c r="E10" i="76"/>
  <c r="F6" i="67"/>
  <c r="M22" i="67"/>
  <c r="M23" i="15"/>
  <c r="M26" i="67"/>
  <c r="B10" i="76"/>
  <c r="D34" i="9"/>
  <c r="F13" i="67"/>
  <c r="E8" i="76"/>
  <c r="M24" i="15"/>
  <c r="B8" i="76"/>
  <c r="F4" i="73"/>
  <c r="L48" i="67"/>
  <c r="E11" i="76"/>
  <c r="D35" i="9"/>
  <c r="F38" i="67"/>
  <c r="M8" i="15"/>
  <c r="F40" i="15"/>
  <c r="F36" i="15"/>
  <c r="F37" i="67"/>
  <c r="F13" i="15"/>
  <c r="M9" i="15"/>
  <c r="F6" i="73"/>
  <c r="E2" i="69"/>
  <c r="F8" i="15"/>
  <c r="D3" i="73"/>
  <c r="J15" i="67"/>
  <c r="F3" i="73"/>
  <c r="D6" i="73"/>
  <c r="F9" i="15"/>
  <c r="F6" i="15"/>
  <c r="B11" i="76"/>
  <c r="M29" i="15"/>
  <c r="B9" i="76"/>
  <c r="F7" i="15"/>
  <c r="F16" i="15"/>
  <c r="F7" i="73"/>
  <c r="F36" i="67"/>
  <c r="B12" i="76"/>
  <c r="M22" i="15"/>
  <c r="E9" i="76"/>
  <c r="F40" i="67"/>
  <c r="L47" i="67"/>
  <c r="M23" i="67"/>
  <c r="M6" i="15"/>
  <c r="B13" i="76"/>
  <c r="F8" i="67"/>
  <c r="M26" i="15"/>
  <c r="F26" i="67"/>
  <c r="F7" i="67"/>
  <c r="H32" i="33" l="1"/>
  <c r="AB32" i="33" s="1"/>
  <c r="AC38" i="39"/>
  <c r="S38" i="39"/>
  <c r="AA39" i="39"/>
  <c r="AC32" i="39"/>
  <c r="S31" i="39"/>
  <c r="W27" i="39"/>
  <c r="S23" i="39"/>
  <c r="AA21" i="39"/>
  <c r="S15" i="39"/>
  <c r="W23" i="39"/>
  <c r="AB21" i="39"/>
  <c r="W19" i="39"/>
  <c r="S19" i="39"/>
  <c r="U17" i="39"/>
  <c r="S17" i="39"/>
  <c r="W12" i="39"/>
  <c r="AC12" i="39"/>
  <c r="AA14" i="39"/>
  <c r="S14" i="39"/>
  <c r="AC13" i="39"/>
  <c r="H12" i="39"/>
  <c r="J11" i="39"/>
  <c r="W11" i="39" s="1"/>
  <c r="F12" i="39"/>
  <c r="AC11" i="39"/>
  <c r="S11" i="39"/>
  <c r="AB8" i="39"/>
  <c r="F43" i="33"/>
  <c r="AA43" i="33" s="1"/>
  <c r="H43" i="33"/>
  <c r="H42" i="33"/>
  <c r="AB42" i="33" s="1"/>
  <c r="F42" i="33"/>
  <c r="AA42" i="33" s="1"/>
  <c r="W39" i="33"/>
  <c r="S36" i="33"/>
  <c r="W38" i="33"/>
  <c r="F108" i="33"/>
  <c r="G108" i="33" s="1"/>
  <c r="H108" i="33" s="1"/>
  <c r="I108" i="33" s="1"/>
  <c r="J108" i="33" s="1"/>
  <c r="K108" i="33" s="1"/>
  <c r="L108" i="33" s="1"/>
  <c r="M108" i="33" s="1"/>
  <c r="J35" i="33"/>
  <c r="AC35" i="33" s="1"/>
  <c r="H35" i="33"/>
  <c r="U35" i="33" s="1"/>
  <c r="F35" i="33"/>
  <c r="S35" i="33" s="1"/>
  <c r="G106" i="33"/>
  <c r="H106" i="33" s="1"/>
  <c r="I106" i="33" s="1"/>
  <c r="J106" i="33" s="1"/>
  <c r="K106" i="33" s="1"/>
  <c r="L106" i="33" s="1"/>
  <c r="M106" i="33" s="1"/>
  <c r="H34" i="33"/>
  <c r="U34" i="33" s="1"/>
  <c r="F34" i="33"/>
  <c r="S34" i="33" s="1"/>
  <c r="J34" i="33"/>
  <c r="W34" i="33" s="1"/>
  <c r="W43" i="33"/>
  <c r="S42" i="33"/>
  <c r="U40" i="33"/>
  <c r="W40" i="33"/>
  <c r="S39" i="33"/>
  <c r="U38" i="33"/>
  <c r="AC37" i="33"/>
  <c r="W35" i="33"/>
  <c r="AA34" i="33"/>
  <c r="S28" i="33"/>
  <c r="W26" i="33"/>
  <c r="S38" i="33"/>
  <c r="U33" i="33"/>
  <c r="AC27" i="33"/>
  <c r="U27" i="33"/>
  <c r="AB26" i="33"/>
  <c r="F87" i="33"/>
  <c r="G87" i="33" s="1"/>
  <c r="F25" i="33"/>
  <c r="AA25" i="33" s="1"/>
  <c r="J25" i="33"/>
  <c r="W25" i="33" s="1"/>
  <c r="AB23" i="33"/>
  <c r="AC23" i="33"/>
  <c r="AB19" i="33"/>
  <c r="AA19" i="33"/>
  <c r="U15" i="33"/>
  <c r="W15" i="33"/>
  <c r="F15" i="33"/>
  <c r="U17" i="33"/>
  <c r="AB45" i="33"/>
  <c r="S41" i="33"/>
  <c r="AC21" i="33"/>
  <c r="S43" i="33"/>
  <c r="AB36" i="33"/>
  <c r="U37" i="33"/>
  <c r="AA35" i="33"/>
  <c r="S11" i="33"/>
  <c r="AC32" i="33"/>
  <c r="S32" i="33"/>
  <c r="U32" i="33"/>
  <c r="B14" i="74"/>
  <c r="D3" i="84"/>
  <c r="AH6" i="1"/>
  <c r="C5" i="68"/>
  <c r="F6" i="1"/>
  <c r="G6" i="1" s="1"/>
  <c r="C7" i="80"/>
  <c r="C7" i="84"/>
  <c r="F34" i="67"/>
  <c r="F62" i="67" s="1"/>
  <c r="C40" i="68"/>
  <c r="C40" i="69"/>
  <c r="E19" i="11"/>
  <c r="F54" i="9"/>
  <c r="F28" i="15"/>
  <c r="C28" i="15" s="1"/>
  <c r="F32" i="15"/>
  <c r="F60" i="15" s="1"/>
  <c r="F32" i="67"/>
  <c r="F60" i="67" s="1"/>
  <c r="F52" i="9"/>
  <c r="F28" i="67"/>
  <c r="C28" i="67" s="1"/>
  <c r="F30" i="68"/>
  <c r="F48" i="68" s="1"/>
  <c r="G1" i="69"/>
  <c r="G1" i="68"/>
  <c r="M20" i="67"/>
  <c r="D93" i="9"/>
  <c r="K10" i="1"/>
  <c r="M10" i="1" s="1"/>
  <c r="O10" i="1" s="1"/>
  <c r="P10" i="1" s="1"/>
  <c r="C21" i="68"/>
  <c r="E15" i="71"/>
  <c r="E14" i="71" s="1"/>
  <c r="E13" i="71" s="1"/>
  <c r="E12" i="71" s="1"/>
  <c r="V16" i="71"/>
  <c r="G28" i="6"/>
  <c r="F29" i="6"/>
  <c r="W12" i="37"/>
  <c r="AC12" i="37"/>
  <c r="AZ515" i="3"/>
  <c r="AA26" i="33"/>
  <c r="S26" i="33"/>
  <c r="BL585" i="3"/>
  <c r="AZ585" i="3" s="1"/>
  <c r="AB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s="1"/>
  <c r="F9" i="37"/>
  <c r="S9" i="37" s="1"/>
  <c r="J43" i="39"/>
  <c r="F43" i="39"/>
  <c r="H43" i="39"/>
  <c r="H45" i="39"/>
  <c r="F45" i="39"/>
  <c r="J45" i="39"/>
  <c r="AB9" i="40"/>
  <c r="U9" i="40"/>
  <c r="AB38" i="40"/>
  <c r="U38" i="40"/>
  <c r="AC32" i="40"/>
  <c r="W32" i="40"/>
  <c r="W38" i="34"/>
  <c r="AC38" i="34"/>
  <c r="U42" i="34"/>
  <c r="AB42" i="34"/>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D17" i="71"/>
  <c r="C16" i="71"/>
  <c r="D20" i="71"/>
  <c r="U20" i="71" s="1"/>
  <c r="T20" i="71"/>
  <c r="V20" i="71"/>
  <c r="AZ511" i="3"/>
  <c r="AZ519" i="3"/>
  <c r="AZ577" i="3"/>
  <c r="AZ583" i="3"/>
  <c r="AZ508" i="3"/>
  <c r="AZ532" i="3"/>
  <c r="AZ544" i="3"/>
  <c r="AZ554" i="3"/>
  <c r="AZ558" i="3"/>
  <c r="W11" i="35"/>
  <c r="AC11" i="35"/>
  <c r="AA21" i="40"/>
  <c r="S21" i="40"/>
  <c r="BL586" i="3"/>
  <c r="BA586" i="3"/>
  <c r="AZ586" i="3" s="1"/>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AZ527" i="3"/>
  <c r="BL525" i="3"/>
  <c r="AZ525" i="3" s="1"/>
  <c r="AZ523" i="3"/>
  <c r="BL521" i="3"/>
  <c r="AZ521" i="3" s="1"/>
  <c r="G521" i="3"/>
  <c r="G5" i="3" s="1"/>
  <c r="B3" i="3" s="1"/>
  <c r="BL517" i="3"/>
  <c r="AZ517" i="3" s="1"/>
  <c r="BL513" i="3"/>
  <c r="AZ513" i="3" s="1"/>
  <c r="BL509" i="3"/>
  <c r="AZ509" i="3" s="1"/>
  <c r="AZ507" i="3"/>
  <c r="BL505" i="3"/>
  <c r="AZ505" i="3" s="1"/>
  <c r="AZ503" i="3"/>
  <c r="BL501" i="3"/>
  <c r="AZ501" i="3" s="1"/>
  <c r="BL499" i="3"/>
  <c r="AZ499" i="3" s="1"/>
  <c r="BL497" i="3"/>
  <c r="AZ497" i="3" s="1"/>
  <c r="BL495" i="3"/>
  <c r="AZ495" i="3" s="1"/>
  <c r="G551" i="3"/>
  <c r="BL548" i="3"/>
  <c r="AZ548" i="3" s="1"/>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s="1"/>
  <c r="AA17" i="71"/>
  <c r="U18" i="36"/>
  <c r="S25" i="40"/>
  <c r="D27" i="71"/>
  <c r="C32" i="71"/>
  <c r="AA27" i="71"/>
  <c r="AA25" i="71"/>
  <c r="AB27" i="71"/>
  <c r="S28" i="71"/>
  <c r="C39" i="71"/>
  <c r="X28" i="71"/>
  <c r="Y28" i="71"/>
  <c r="Z28" i="71" s="1"/>
  <c r="X38" i="71"/>
  <c r="X36" i="71"/>
  <c r="AA32" i="71"/>
  <c r="Y29" i="71"/>
  <c r="Z29" i="71" s="1"/>
  <c r="AA33" i="71"/>
  <c r="AA37" i="71"/>
  <c r="E39" i="71"/>
  <c r="E40" i="71" s="1"/>
  <c r="U40" i="71" s="1"/>
  <c r="X29" i="7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V68" i="71"/>
  <c r="F67" i="71"/>
  <c r="X22" i="71"/>
  <c r="AA24" i="71"/>
  <c r="Y21" i="71"/>
  <c r="Z21" i="71" s="1"/>
  <c r="AB23" i="71"/>
  <c r="AB21" i="71"/>
  <c r="Y18" i="71"/>
  <c r="Z18" i="71" s="1"/>
  <c r="X17" i="71"/>
  <c r="AB18" i="71"/>
  <c r="X13" i="71"/>
  <c r="AA14" i="71"/>
  <c r="Y17" i="71"/>
  <c r="Z17" i="71" s="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s="1"/>
  <c r="I4" i="6"/>
  <c r="G3" i="43" s="1"/>
  <c r="H26" i="43" s="1"/>
  <c r="E29" i="6"/>
  <c r="K15" i="1" s="1"/>
  <c r="F30" i="6"/>
  <c r="G30" i="6"/>
  <c r="G31" i="6" s="1"/>
  <c r="E28" i="6"/>
  <c r="K14" i="1" s="1"/>
  <c r="K16" i="1" s="1"/>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4" i="73"/>
  <c r="C16" i="15"/>
  <c r="D5" i="73"/>
  <c r="C16" i="67"/>
  <c r="AB34" i="33" l="1"/>
  <c r="AC34" i="33"/>
  <c r="S12" i="39"/>
  <c r="AA12" i="39"/>
  <c r="AB12" i="39"/>
  <c r="U12" i="39"/>
  <c r="AB43" i="33"/>
  <c r="U43" i="33"/>
  <c r="U42" i="33"/>
  <c r="H87" i="33"/>
  <c r="I87" i="33" s="1"/>
  <c r="J87" i="33" s="1"/>
  <c r="K87" i="33" s="1"/>
  <c r="L87" i="33" s="1"/>
  <c r="M87" i="33" s="1"/>
  <c r="H25" i="33"/>
  <c r="AC25" i="33"/>
  <c r="S25" i="33"/>
  <c r="AA15" i="33"/>
  <c r="S15" i="33"/>
  <c r="H16" i="1"/>
  <c r="G26" i="43"/>
  <c r="G16" i="1"/>
  <c r="F10" i="39" s="1"/>
  <c r="AA10" i="39" s="1"/>
  <c r="C58" i="80"/>
  <c r="D58" i="80" s="1"/>
  <c r="E58" i="80" s="1"/>
  <c r="F58" i="80" s="1"/>
  <c r="G58" i="80" s="1"/>
  <c r="H58" i="80" s="1"/>
  <c r="I58" i="80" s="1"/>
  <c r="J58" i="80" s="1"/>
  <c r="K58" i="80" s="1"/>
  <c r="L58" i="80" s="1"/>
  <c r="M58" i="80" s="1"/>
  <c r="N58" i="80" s="1"/>
  <c r="O58" i="80" s="1"/>
  <c r="I7" i="80"/>
  <c r="E7" i="80"/>
  <c r="G7" i="80"/>
  <c r="I7" i="84"/>
  <c r="E7" i="84"/>
  <c r="C58" i="84"/>
  <c r="D58" i="84" s="1"/>
  <c r="E58" i="84" s="1"/>
  <c r="F58" i="84" s="1"/>
  <c r="G58" i="84" s="1"/>
  <c r="H58" i="84" s="1"/>
  <c r="I58" i="84" s="1"/>
  <c r="J58" i="84" s="1"/>
  <c r="K58" i="84" s="1"/>
  <c r="L58" i="84" s="1"/>
  <c r="M58" i="84" s="1"/>
  <c r="N58" i="84" s="1"/>
  <c r="O58" i="84" s="1"/>
  <c r="G7" i="84"/>
  <c r="H7" i="84" s="1"/>
  <c r="C36" i="68"/>
  <c r="Q16" i="1"/>
  <c r="F27" i="69" s="1"/>
  <c r="C47" i="69" s="1"/>
  <c r="D45" i="69" s="1"/>
  <c r="N94" i="46"/>
  <c r="E26" i="43"/>
  <c r="J26" i="43"/>
  <c r="P6" i="1"/>
  <c r="C13" i="12" s="1"/>
  <c r="F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s="1"/>
  <c r="B13" i="71" s="1"/>
  <c r="B12" i="71" s="1"/>
  <c r="S16" i="71"/>
  <c r="F7" i="36"/>
  <c r="AA7" i="36" s="1"/>
  <c r="R36" i="36" s="1"/>
  <c r="J7" i="37"/>
  <c r="H7" i="36"/>
  <c r="AB7" i="36" s="1"/>
  <c r="T36" i="36" s="1"/>
  <c r="G36" i="36" s="1"/>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E58" i="40"/>
  <c r="E62" i="39"/>
  <c r="AY6" i="3"/>
  <c r="E3" i="6"/>
  <c r="M14" i="1"/>
  <c r="D5" i="43"/>
  <c r="D26" i="43"/>
  <c r="C25" i="43" s="1"/>
  <c r="C7" i="43"/>
  <c r="C5" i="43" s="1"/>
  <c r="D10" i="52"/>
  <c r="D125" i="9"/>
  <c r="D11" i="52" s="1"/>
  <c r="B7" i="74"/>
  <c r="C7" i="74" s="1"/>
  <c r="F59" i="67"/>
  <c r="H7" i="37"/>
  <c r="AB7" i="37" s="1"/>
  <c r="T42" i="37" s="1"/>
  <c r="G42" i="37" s="1"/>
  <c r="H7" i="33"/>
  <c r="J7" i="33"/>
  <c r="D65" i="40"/>
  <c r="E63" i="40"/>
  <c r="F48" i="35"/>
  <c r="S7" i="36"/>
  <c r="AC7" i="37"/>
  <c r="V42" i="37" s="1"/>
  <c r="I42" i="37" s="1"/>
  <c r="W7" i="37"/>
  <c r="F7" i="33"/>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G1" i="73"/>
  <c r="S10" i="39" l="1"/>
  <c r="H10" i="40"/>
  <c r="AB10" i="40" s="1"/>
  <c r="F10" i="40"/>
  <c r="S10" i="40" s="1"/>
  <c r="J10" i="40"/>
  <c r="AC10" i="40" s="1"/>
  <c r="J10" i="39"/>
  <c r="W10" i="39" s="1"/>
  <c r="H10" i="39"/>
  <c r="U10" i="39" s="1"/>
  <c r="AB25" i="33"/>
  <c r="U25" i="33"/>
  <c r="D3" i="80"/>
  <c r="F7" i="84"/>
  <c r="AA7" i="84" s="1"/>
  <c r="R48" i="84" s="1"/>
  <c r="H7" i="80"/>
  <c r="U7" i="80" s="1"/>
  <c r="J7" i="80"/>
  <c r="B40" i="1"/>
  <c r="L36" i="43" s="1"/>
  <c r="L37" i="43" s="1"/>
  <c r="F45" i="69"/>
  <c r="AB7" i="84"/>
  <c r="T48" i="84" s="1"/>
  <c r="G48" i="84" s="1"/>
  <c r="U7" i="84"/>
  <c r="S7" i="84"/>
  <c r="U7" i="36"/>
  <c r="J7" i="84"/>
  <c r="AB7" i="80"/>
  <c r="T48" i="80" s="1"/>
  <c r="F27" i="68"/>
  <c r="F45" i="68" s="1"/>
  <c r="F67" i="39"/>
  <c r="F69" i="39" s="1"/>
  <c r="F27" i="11"/>
  <c r="C29" i="11" s="1"/>
  <c r="D27" i="11" s="1"/>
  <c r="C29" i="69"/>
  <c r="D27" i="69" s="1"/>
  <c r="S7" i="80"/>
  <c r="AA7" i="80"/>
  <c r="R48" i="80" s="1"/>
  <c r="C14" i="71"/>
  <c r="D15" i="71"/>
  <c r="D40" i="71"/>
  <c r="T40" i="71"/>
  <c r="Q66" i="71"/>
  <c r="Q65" i="71"/>
  <c r="B11" i="71"/>
  <c r="B10" i="71" s="1"/>
  <c r="B9" i="71" s="1"/>
  <c r="B8" i="71" s="1"/>
  <c r="B7" i="71" s="1"/>
  <c r="B6" i="71" s="1"/>
  <c r="B5" i="71" s="1"/>
  <c r="S12"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C17" i="4"/>
  <c r="B4" i="52" s="1"/>
  <c r="B43" i="72" s="1"/>
  <c r="D3" i="33"/>
  <c r="D3" i="37"/>
  <c r="C39" i="43"/>
  <c r="C42" i="43"/>
  <c r="E42" i="43" s="1"/>
  <c r="C38" i="43"/>
  <c r="AB10" i="39"/>
  <c r="AA10" i="40"/>
  <c r="U10" i="40"/>
  <c r="AC10" i="39"/>
  <c r="U7" i="37"/>
  <c r="I53" i="34"/>
  <c r="J53" i="34" s="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W10" i="40" l="1"/>
  <c r="F25" i="12"/>
  <c r="C8" i="83"/>
  <c r="C11" i="83"/>
  <c r="W7" i="80"/>
  <c r="AC7" i="80"/>
  <c r="V48" i="80" s="1"/>
  <c r="I48" i="80" s="1"/>
  <c r="I52" i="80" s="1"/>
  <c r="J52" i="80" s="1"/>
  <c r="F22" i="68"/>
  <c r="F41" i="68" s="1"/>
  <c r="F24" i="67"/>
  <c r="C24" i="67" s="1"/>
  <c r="F24" i="15"/>
  <c r="C24" i="15" s="1"/>
  <c r="F22" i="11"/>
  <c r="C23" i="11" s="1"/>
  <c r="F22" i="69"/>
  <c r="F41" i="69" s="1"/>
  <c r="Q36" i="43"/>
  <c r="M36" i="43"/>
  <c r="P36" i="43"/>
  <c r="O36" i="43"/>
  <c r="N36" i="43"/>
  <c r="G48" i="80"/>
  <c r="G52" i="80" s="1"/>
  <c r="H52" i="80" s="1"/>
  <c r="G52" i="84"/>
  <c r="H52" i="84" s="1"/>
  <c r="G67" i="39"/>
  <c r="H67" i="39" s="1"/>
  <c r="W7" i="84"/>
  <c r="AC7" i="84"/>
  <c r="V48" i="84" s="1"/>
  <c r="I48" i="84" s="1"/>
  <c r="E48" i="84"/>
  <c r="R49" i="84"/>
  <c r="C47" i="68"/>
  <c r="D45" i="68" s="1"/>
  <c r="C47" i="11"/>
  <c r="D45" i="11" s="1"/>
  <c r="C29" i="68"/>
  <c r="D27" i="68" s="1"/>
  <c r="D116" i="43"/>
  <c r="E4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C60" i="15"/>
  <c r="C26" i="12"/>
  <c r="D25" i="12" s="1"/>
  <c r="C66" i="67"/>
  <c r="C60" i="67"/>
  <c r="D10" i="69"/>
  <c r="C34" i="69"/>
  <c r="D10" i="68"/>
  <c r="C17" i="15"/>
  <c r="C14" i="67"/>
  <c r="C17" i="67"/>
  <c r="C9" i="83" l="1"/>
  <c r="C10" i="83"/>
  <c r="C12" i="83"/>
  <c r="R49" i="80"/>
  <c r="C49" i="80" s="1"/>
  <c r="C23" i="68"/>
  <c r="C44" i="11"/>
  <c r="D41" i="11" s="1"/>
  <c r="C26" i="68"/>
  <c r="D22" i="68" s="1"/>
  <c r="C44" i="68"/>
  <c r="D41" i="68" s="1"/>
  <c r="C44" i="69"/>
  <c r="D41" i="69" s="1"/>
  <c r="C26" i="69"/>
  <c r="D22" i="69" s="1"/>
  <c r="C24" i="11"/>
  <c r="C26" i="11"/>
  <c r="D22" i="11" s="1"/>
  <c r="C48" i="84"/>
  <c r="C49" i="84"/>
  <c r="I53" i="84"/>
  <c r="J53" i="84" s="1"/>
  <c r="I52" i="84"/>
  <c r="J52" i="84" s="1"/>
  <c r="G53" i="80"/>
  <c r="H53" i="80" s="1"/>
  <c r="E53" i="84"/>
  <c r="F53" i="84" s="1"/>
  <c r="E52" i="84"/>
  <c r="F52" i="84" s="1"/>
  <c r="G53" i="84"/>
  <c r="H53" i="84" s="1"/>
  <c r="C25" i="11"/>
  <c r="C48" i="80"/>
  <c r="E52" i="80"/>
  <c r="F52" i="80" s="1"/>
  <c r="E53" i="80"/>
  <c r="F53" i="80" s="1"/>
  <c r="I53" i="80"/>
  <c r="J53" i="80"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Q40" i="88" s="1"/>
  <c r="R40" i="88" s="1"/>
  <c r="E47" i="37"/>
  <c r="F47" i="37" s="1"/>
  <c r="E46" i="37"/>
  <c r="F46" i="37" s="1"/>
  <c r="I47" i="37"/>
  <c r="J47" i="37" s="1"/>
  <c r="E53" i="33"/>
  <c r="F53" i="33" s="1"/>
  <c r="E52" i="33"/>
  <c r="F52" i="33" s="1"/>
  <c r="C33" i="15"/>
  <c r="C33" i="67"/>
  <c r="J19" i="67"/>
  <c r="C34" i="68"/>
  <c r="E6" i="76"/>
  <c r="B6" i="76"/>
  <c r="C14" i="15"/>
  <c r="C13" i="83" l="1"/>
  <c r="C14" i="83" s="1"/>
  <c r="C20" i="83" s="1"/>
  <c r="C19" i="83" s="1"/>
  <c r="Q9" i="88"/>
  <c r="R9" i="88" s="1"/>
  <c r="Q42" i="88"/>
  <c r="R42" i="88" s="1"/>
  <c r="Q41" i="88"/>
  <c r="R41" i="88" s="1"/>
  <c r="Q37" i="88"/>
  <c r="R37" i="88" s="1"/>
  <c r="Q29" i="88"/>
  <c r="R29" i="88" s="1"/>
  <c r="Q21" i="88"/>
  <c r="R21" i="88" s="1"/>
  <c r="Q15" i="88"/>
  <c r="R15" i="88" s="1"/>
  <c r="Q7" i="88"/>
  <c r="R7" i="88" s="1"/>
  <c r="Q5" i="88"/>
  <c r="R5" i="88" s="1"/>
  <c r="Q38" i="88"/>
  <c r="R38" i="88" s="1"/>
  <c r="Q34" i="88"/>
  <c r="R34" i="88" s="1"/>
  <c r="Q30" i="88"/>
  <c r="R30" i="88" s="1"/>
  <c r="Q26" i="88"/>
  <c r="R26" i="88" s="1"/>
  <c r="Q22" i="88"/>
  <c r="R22" i="88" s="1"/>
  <c r="Q18" i="88"/>
  <c r="R18" i="88" s="1"/>
  <c r="Q14" i="88"/>
  <c r="R14" i="88" s="1"/>
  <c r="Q10" i="88"/>
  <c r="R10" i="88" s="1"/>
  <c r="Q3" i="88"/>
  <c r="R3" i="88" s="1"/>
  <c r="Q35" i="88"/>
  <c r="R35" i="88" s="1"/>
  <c r="Q27" i="88"/>
  <c r="R27" i="88" s="1"/>
  <c r="Q17" i="88"/>
  <c r="R17" i="88" s="1"/>
  <c r="Q4" i="88"/>
  <c r="R4" i="88" s="1"/>
  <c r="Q33" i="88"/>
  <c r="R33" i="88" s="1"/>
  <c r="Q25" i="88"/>
  <c r="R25" i="88" s="1"/>
  <c r="Q19" i="88"/>
  <c r="R19" i="88" s="1"/>
  <c r="Q13" i="88"/>
  <c r="R13" i="88" s="1"/>
  <c r="Q2" i="88"/>
  <c r="R2" i="88" s="1"/>
  <c r="Q6" i="88"/>
  <c r="R6" i="88" s="1"/>
  <c r="Q36" i="88"/>
  <c r="R36" i="88" s="1"/>
  <c r="Q32" i="88"/>
  <c r="R32" i="88" s="1"/>
  <c r="Q28" i="88"/>
  <c r="R28" i="88" s="1"/>
  <c r="Q24" i="88"/>
  <c r="R24" i="88" s="1"/>
  <c r="Q20" i="88"/>
  <c r="R20" i="88" s="1"/>
  <c r="Q16" i="88"/>
  <c r="R16" i="88" s="1"/>
  <c r="Q12" i="88"/>
  <c r="R12" i="88" s="1"/>
  <c r="Q8" i="88"/>
  <c r="R8" i="88" s="1"/>
  <c r="Q39" i="88"/>
  <c r="R39" i="88" s="1"/>
  <c r="Q31" i="88"/>
  <c r="R31" i="88" s="1"/>
  <c r="Q23" i="88"/>
  <c r="R23" i="88" s="1"/>
  <c r="Q11" i="88"/>
  <c r="R11" i="88" s="1"/>
  <c r="E14" i="74"/>
  <c r="C5" i="74" s="1"/>
  <c r="C22" i="11"/>
  <c r="C31" i="11" s="1"/>
  <c r="B3" i="84"/>
  <c r="B2" i="84"/>
  <c r="B2" i="80"/>
  <c r="B3" i="80" s="1"/>
  <c r="D36" i="83"/>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J48" i="35"/>
  <c r="C19" i="9"/>
  <c r="C20" i="9"/>
  <c r="R46" i="88" l="1"/>
  <c r="R47" i="88" s="1"/>
  <c r="C17" i="83"/>
  <c r="C16" i="83" s="1"/>
  <c r="C4" i="83"/>
  <c r="D14" i="74"/>
  <c r="C103" i="9"/>
  <c r="C102" i="9"/>
  <c r="C21" i="9"/>
  <c r="J8"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C23" i="83" l="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F35" i="67"/>
  <c r="M21" i="15"/>
  <c r="M21" i="67"/>
  <c r="F35" i="15"/>
  <c r="C27" i="83" l="1"/>
  <c r="C7" i="83"/>
  <c r="C28" i="83" s="1"/>
  <c r="AC7" i="35"/>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C24" i="83" l="1"/>
  <c r="C30" i="83" s="1"/>
  <c r="C31" i="83" s="1"/>
  <c r="D37" i="83" s="1"/>
  <c r="D38" i="83" s="1"/>
  <c r="H44" i="8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J9" i="83" l="1"/>
  <c r="G36" i="83"/>
  <c r="C39" i="83"/>
  <c r="C40" i="83" s="1"/>
  <c r="J10" i="83"/>
  <c r="E39" i="83"/>
  <c r="E40" i="83" s="1"/>
  <c r="D41" i="83"/>
  <c r="D43" i="83" s="1"/>
  <c r="C6" i="71"/>
  <c r="D7" i="7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19" i="9"/>
  <c r="D2" i="35"/>
  <c r="D2" i="36"/>
  <c r="D2" i="34"/>
  <c r="D22" i="9" l="1"/>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2" i="1"/>
  <c r="D20" i="9"/>
  <c r="AO7" i="1"/>
  <c r="AO6" i="1"/>
  <c r="AO10" i="1"/>
  <c r="AO11" i="1"/>
  <c r="AO9" i="1"/>
  <c r="AO8" i="1"/>
  <c r="R48" i="39" l="1"/>
  <c r="C48" i="39" s="1"/>
  <c r="D103" i="9"/>
  <c r="G20" i="9"/>
  <c r="C32" i="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T43" i="88" s="1"/>
  <c r="S43" i="88" s="1"/>
  <c r="C35" i="9"/>
  <c r="C34" i="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38" i="88" l="1"/>
  <c r="T34" i="88"/>
  <c r="S45" i="88"/>
  <c r="T45" i="88" s="1"/>
  <c r="S44" i="88"/>
  <c r="T44" i="88" s="1"/>
  <c r="F65" i="39"/>
  <c r="B2" i="39" s="1"/>
  <c r="B3" i="39" s="1"/>
  <c r="C42" i="40"/>
  <c r="C43" i="40"/>
  <c r="E47" i="40"/>
  <c r="F47" i="40" s="1"/>
  <c r="E46" i="40"/>
  <c r="F46" i="40" s="1"/>
  <c r="I47" i="40"/>
  <c r="J47" i="40" s="1"/>
  <c r="T46" i="88" l="1"/>
  <c r="T47" i="88"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1" i="72" l="1"/>
  <c r="F4" i="52"/>
  <c r="B48" i="72"/>
  <c r="E4" i="52"/>
  <c r="B31" i="72"/>
  <c r="D15" i="53"/>
  <c r="G4" i="52"/>
  <c r="B52" i="72"/>
  <c r="M54" i="9"/>
  <c r="D56" i="9"/>
  <c r="D58" i="9"/>
  <c r="C97" i="9"/>
  <c r="E97" i="9"/>
  <c r="E96" i="9"/>
  <c r="C85" i="9"/>
  <c r="C95" i="9"/>
  <c r="C96" i="9"/>
  <c r="M55" i="9"/>
  <c r="D59" i="9"/>
  <c r="B49" i="72"/>
  <c r="D5" i="52"/>
  <c r="D119" i="9"/>
  <c r="C81" i="9"/>
  <c r="D9" i="52"/>
  <c r="D123" i="9"/>
  <c r="C73" i="9"/>
  <c r="C78" i="9"/>
  <c r="N58" i="9"/>
  <c r="P57" i="9"/>
  <c r="B30" i="72"/>
  <c r="B47" i="72"/>
  <c r="E118" i="9"/>
  <c r="D118" i="9"/>
  <c r="D4" i="52"/>
  <c r="C86" i="9"/>
  <c r="C93" i="9"/>
  <c r="B20" i="72"/>
  <c r="N61" i="9"/>
  <c r="D55" i="9"/>
  <c r="M53" i="9"/>
  <c r="N57" i="9"/>
  <c r="N59" i="9"/>
  <c r="N60" i="9"/>
  <c r="D54" i="9"/>
  <c r="C64" i="9"/>
  <c r="C63" i="9"/>
  <c r="C67" i="9"/>
  <c r="C68" i="9"/>
  <c r="H108" i="9"/>
  <c r="C6" i="74"/>
  <c r="C104" i="9"/>
  <c r="H4" i="52"/>
  <c r="C72" i="9"/>
  <c r="C79" i="9"/>
  <c r="C80" i="9"/>
  <c r="E80" i="9"/>
  <c r="E81" i="9"/>
  <c r="D122" i="9"/>
  <c r="D8" i="52"/>
  <c r="I4" i="52"/>
  <c r="C105" i="9"/>
  <c r="H102" i="9"/>
  <c r="D7" i="53"/>
  <c r="B21" i="72"/>
  <c r="H107" i="9"/>
  <c r="D13" i="53"/>
  <c r="D14" i="53"/>
  <c r="B32" i="72"/>
  <c r="M48" i="9"/>
  <c r="D53" i="9"/>
  <c r="D45" i="9"/>
  <c r="D52" i="9"/>
  <c r="G118" i="9"/>
  <c r="F118" i="9"/>
  <c r="F119" i="9"/>
  <c r="F5" i="52"/>
  <c r="B53" i="72"/>
  <c r="H119" i="9"/>
  <c r="H5" i="5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<sst xmlns="http://schemas.openxmlformats.org/spreadsheetml/2006/main" count="8905" uniqueCount="3702">
  <si>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</si>
  <si>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</si>
  <si>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</si>
  <si>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</si>
  <si>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</si>
  <si>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</si>
  <si>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</si>
  <si>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</si>
  <si>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</si>
  <si>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</si>
  <si>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</si>
  <si>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</si>
  <si>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</si>
  <si>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</si>
  <si>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</si>
  <si>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</si>
  <si>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</si>
  <si>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</si>
  <si>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</si>
  <si>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</si>
  <si>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</si>
  <si>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</si>
  <si>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</si>
  <si>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</si>
  <si>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</si>
  <si>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</si>
  <si>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</si>
  <si>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</si>
  <si>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</si>
  <si>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</si>
  <si>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</si>
  <si>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</si>
  <si>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</si>
  <si>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</si>
  <si>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</si>
  <si>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</si>
  <si>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</si>
  <si>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</si>
  <si>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</si>
  <si>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</si>
  <si>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</si>
  <si>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</si>
  <si>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</si>
  <si>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</si>
  <si>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</si>
  <si>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</si>
  <si>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</si>
  <si>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</si>
  <si>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</si>
  <si>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</si>
  <si>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</si>
  <si>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</si>
  <si>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</si>
  <si>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</si>
  <si>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</si>
  <si>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</si>
  <si>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</si>
  <si>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</si>
  <si>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</si>
  <si>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</si>
  <si>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</si>
  <si>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</si>
  <si>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</si>
  <si>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</si>
  <si>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</si>
  <si>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</si>
  <si>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</si>
  <si>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</si>
  <si>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</si>
  <si>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</si>
  <si>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</si>
  <si>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</si>
  <si>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</si>
  <si>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</si>
  <si>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</si>
  <si>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</si>
  <si>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</si>
  <si>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</si>
  <si>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</si>
  <si>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</si>
  <si>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</si>
  <si>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</si>
  <si>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</si>
  <si>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</si>
  <si>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</si>
  <si>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</si>
  <si>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</si>
  <si>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</si>
  <si>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</si>
  <si>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</si>
  <si>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</si>
  <si>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</si>
  <si>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</si>
  <si>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</si>
  <si>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</si>
  <si>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</si>
  <si>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</si>
  <si>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</si>
  <si>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</si>
  <si>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</si>
  <si>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</si>
  <si>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</si>
  <si>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</si>
  <si>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</si>
  <si>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</si>
  <si>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</si>
  <si>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</si>
  <si>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</si>
  <si>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</si>
  <si>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</si>
  <si>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</si>
  <si>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</si>
  <si>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</si>
  <si>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</si>
  <si>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</si>
  <si>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</si>
  <si>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</si>
  <si>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</si>
  <si>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</si>
  <si>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</si>
  <si>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</si>
  <si>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</si>
  <si>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</si>
  <si>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</si>
  <si>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</si>
  <si>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</si>
  <si>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</si>
  <si>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</si>
  <si>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</si>
  <si>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</si>
  <si>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</si>
  <si>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</si>
  <si>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</si>
  <si>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</si>
  <si>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</si>
  <si>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</si>
  <si>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</si>
  <si>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</si>
  <si>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</si>
  <si>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</si>
  <si>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</si>
  <si>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</si>
  <si>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</si>
  <si>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</si>
  <si>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</si>
  <si>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</si>
  <si>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</si>
  <si>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</si>
  <si>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</si>
  <si>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</si>
  <si>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</si>
  <si>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</si>
  <si>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</si>
  <si>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</si>
  <si>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</si>
  <si>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</si>
  <si>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</si>
  <si>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</si>
  <si>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</si>
  <si>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</si>
  <si>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</si>
  <si>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</si>
  <si>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</si>
  <si>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</si>
  <si>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</si>
  <si>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</si>
  <si>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</si>
  <si>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</si>
  <si>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</si>
  <si>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</si>
  <si>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</si>
  <si>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</si>
  <si>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</si>
  <si>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</si>
  <si>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</si>
  <si>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</si>
  <si>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</si>
  <si>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</si>
  <si>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</si>
  <si>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</si>
  <si>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</si>
  <si>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</si>
  <si>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</si>
  <si>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</si>
  <si>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</si>
  <si>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</si>
  <si>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</si>
  <si>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</si>
  <si>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</si>
  <si>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</si>
  <si>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</si>
  <si>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</si>
  <si>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</si>
  <si>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</si>
  <si>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</si>
  <si>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</si>
  <si>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</si>
  <si>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</si>
  <si>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</si>
  <si>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</si>
  <si>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</si>
  <si>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</si>
  <si>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</si>
  <si>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</si>
  <si>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</si>
  <si>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</si>
  <si>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</si>
  <si>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</si>
  <si>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</si>
  <si>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</si>
  <si>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</si>
  <si>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</si>
  <si>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</si>
  <si>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</si>
  <si>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</si>
  <si>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</si>
  <si>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</si>
  <si>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</si>
  <si>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</si>
  <si>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</si>
  <si>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</si>
  <si>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</si>
  <si>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</si>
  <si>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</si>
  <si>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</si>
  <si>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</si>
  <si>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</si>
  <si>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</si>
  <si>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</si>
  <si>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</si>
  <si>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</si>
  <si>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</si>
  <si>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</si>
  <si>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</si>
  <si>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</si>
  <si>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</si>
  <si>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</si>
  <si>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</si>
  <si>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</si>
  <si>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</si>
  <si>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</si>
  <si>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</si>
  <si>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</si>
  <si>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</si>
  <si>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</si>
  <si>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</si>
  <si>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</si>
  <si>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</si>
  <si>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</si>
  <si>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</si>
  <si>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</si>
  <si>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</si>
  <si>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</si>
  <si>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</si>
  <si>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</si>
  <si>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</si>
  <si>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</si>
  <si>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</si>
  <si>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</si>
  <si>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</si>
  <si>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</si>
  <si>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</si>
  <si>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</si>
  <si>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</si>
  <si>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</si>
  <si>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</si>
  <si>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</si>
  <si>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</si>
  <si>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</si>
  <si>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</si>
  <si>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</si>
  <si>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</si>
  <si>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</si>
  <si>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</si>
  <si>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</si>
  <si>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</si>
  <si>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</si>
  <si>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</si>
  <si>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</si>
  <si>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</si>
  <si>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</si>
  <si>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</si>
  <si>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</si>
  <si>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</si>
  <si>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</si>
  <si>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</si>
  <si>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</si>
  <si>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</si>
  <si>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</si>
  <si>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</si>
  <si>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</si>
  <si>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</si>
  <si>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</si>
  <si>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</si>
  <si>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</si>
  <si>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</si>
  <si>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</si>
  <si>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</si>
  <si>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</si>
  <si>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</si>
  <si>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</si>
  <si>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</si>
  <si>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</si>
  <si>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</si>
  <si>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</si>
  <si>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</si>
  <si>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</si>
  <si>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</si>
  <si>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</si>
  <si>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</si>
  <si>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</si>
  <si>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</si>
  <si>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</si>
  <si>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</si>
  <si>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</si>
  <si>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</si>
  <si>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</si>
  <si>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</si>
  <si>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</si>
  <si>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</si>
  <si>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</si>
  <si>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</si>
  <si>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</si>
  <si>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</si>
  <si>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</si>
  <si>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</si>
  <si>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</si>
  <si>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</si>
  <si>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</si>
  <si>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</si>
  <si>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</si>
  <si>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</si>
  <si>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</si>
  <si>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</si>
  <si>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</si>
  <si>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</si>
  <si>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</si>
  <si>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</si>
  <si>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</si>
  <si>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</si>
  <si>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</si>
  <si>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</si>
  <si>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</si>
  <si>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</si>
  <si>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</si>
  <si>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</si>
  <si>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</si>
  <si>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</si>
  <si>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</si>
  <si>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</si>
  <si>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</si>
  <si>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</si>
  <si>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</si>
  <si>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</si>
  <si>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</si>
  <si>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</si>
  <si>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</si>
  <si>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</si>
  <si>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</si>
  <si>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</si>
  <si>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</si>
  <si>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</si>
  <si>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</si>
  <si>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</si>
  <si>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</si>
  <si>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</si>
  <si>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</si>
  <si>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</si>
  <si>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</si>
  <si>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</si>
  <si>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</si>
  <si>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</si>
  <si>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</si>
  <si>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</si>
  <si>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</si>
  <si>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</si>
  <si>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</si>
  <si>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</si>
  <si>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</si>
  <si>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</si>
  <si>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</si>
  <si>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</si>
  <si>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</si>
  <si>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</si>
  <si>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</si>
  <si>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</si>
  <si>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</si>
  <si>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</si>
  <si>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</si>
  <si>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</si>
  <si>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</si>
  <si>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</si>
  <si>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</si>
  <si>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</si>
  <si>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</si>
  <si>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</si>
  <si>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</si>
  <si>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</si>
  <si>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</si>
  <si>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</si>
  <si>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</si>
  <si>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</si>
  <si>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</si>
  <si>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</si>
  <si>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</si>
  <si>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</si>
  <si>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</si>
  <si>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</si>
  <si>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</si>
  <si>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</si>
  <si>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</si>
  <si>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</si>
  <si>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</si>
  <si>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</si>
  <si>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</si>
  <si>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</si>
  <si>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</si>
  <si>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</si>
  <si>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</si>
  <si>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</si>
  <si>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</si>
  <si>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</si>
  <si>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</si>
  <si>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</si>
  <si>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</si>
  <si>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</si>
  <si>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</si>
  <si>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</si>
  <si>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</si>
  <si>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</si>
  <si>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</si>
  <si>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</si>
  <si>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</si>
  <si>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</si>
  <si>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</si>
  <si>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</si>
  <si>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</si>
  <si>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</si>
  <si>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</si>
  <si>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</si>
  <si>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</si>
  <si>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</si>
  <si>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</si>
  <si>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</si>
  <si>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</si>
  <si>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</si>
  <si>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</si>
  <si>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</si>
  <si>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</si>
  <si>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</si>
  <si>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</si>
  <si>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</si>
  <si>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</si>
  <si>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</si>
  <si>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</si>
  <si>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</si>
  <si>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</si>
  <si>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</si>
  <si>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</si>
  <si>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</si>
  <si>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</si>
  <si>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</si>
  <si>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</si>
  <si>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</si>
  <si>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</si>
  <si>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</si>
  <si>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</si>
  <si>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</si>
  <si>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</si>
  <si>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</si>
  <si>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</si>
  <si>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</si>
  <si>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</si>
  <si>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</si>
  <si>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</si>
  <si>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</si>
  <si>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</si>
  <si>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</si>
  <si>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</si>
  <si>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</si>
  <si>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</si>
  <si>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</si>
  <si>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</si>
  <si>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</si>
  <si>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</si>
  <si>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</si>
  <si>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</si>
  <si>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</si>
  <si>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</si>
  <si>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</si>
  <si>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</si>
  <si>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</si>
  <si>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</si>
  <si>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</si>
  <si>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</si>
  <si>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</si>
  <si>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</si>
  <si>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</si>
  <si>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</si>
  <si>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</si>
  <si>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</si>
  <si>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</si>
  <si>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</si>
  <si>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</si>
  <si>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</si>
  <si>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</si>
  <si>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</si>
  <si>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</si>
  <si>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</si>
  <si>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</si>
  <si>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</si>
  <si>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</si>
  <si>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</si>
  <si>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</si>
  <si>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</si>
  <si>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</si>
  <si>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</si>
  <si>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</si>
  <si>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</si>
  <si>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</si>
  <si>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</si>
  <si>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</si>
  <si>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</si>
  <si>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</si>
  <si>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</si>
  <si>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</si>
  <si>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</si>
  <si>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</si>
  <si>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</si>
  <si>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</si>
  <si>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</si>
  <si>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</si>
  <si>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</si>
  <si>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</si>
  <si>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</si>
  <si>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</si>
  <si>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</si>
  <si>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</si>
  <si>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</si>
  <si>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</si>
  <si>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</si>
  <si>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</si>
  <si>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</si>
  <si>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</si>
  <si>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</si>
  <si>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</si>
  <si>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</si>
  <si>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</si>
  <si>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</si>
  <si>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</si>
  <si>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</si>
  <si>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</si>
  <si>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</si>
  <si>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</si>
  <si>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</si>
  <si>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</si>
  <si>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</si>
  <si>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</si>
  <si>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</si>
  <si>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</si>
  <si>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</si>
  <si>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</si>
  <si>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</si>
  <si>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</si>
  <si>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</si>
  <si>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</si>
  <si>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</si>
  <si>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</si>
  <si>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</si>
  <si>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</si>
  <si>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</si>
  <si>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</si>
  <si>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</si>
  <si>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</si>
  <si>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</si>
  <si>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</si>
  <si>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</si>
  <si>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</si>
  <si>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</si>
  <si>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</si>
  <si>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</si>
  <si>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</si>
  <si>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</si>
  <si>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</si>
  <si>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</si>
  <si>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</si>
  <si>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</si>
  <si>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</si>
  <si>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</si>
  <si>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</si>
  <si>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</si>
  <si>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</si>
  <si>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</si>
  <si>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</si>
  <si>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</si>
  <si>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</si>
  <si>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</si>
  <si>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</si>
  <si>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</si>
  <si>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</si>
  <si>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</si>
  <si>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</si>
  <si>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</si>
  <si>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</si>
  <si>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</si>
  <si>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</si>
  <si>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</si>
  <si>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</si>
  <si>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</si>
  <si>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</si>
  <si>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</si>
  <si>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</si>
  <si>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</si>
  <si>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</si>
  <si>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</si>
  <si>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</si>
  <si>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</si>
  <si>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</si>
  <si>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</si>
  <si>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</si>
  <si>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</si>
  <si>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</si>
  <si>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</si>
  <si>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</si>
  <si>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</si>
  <si>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</si>
  <si>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</si>
  <si>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</si>
  <si>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</si>
  <si>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</si>
  <si>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</si>
  <si>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</si>
  <si>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</si>
  <si>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</si>
  <si>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</si>
  <si>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</si>
  <si>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</si>
  <si>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</si>
  <si>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</si>
  <si>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</si>
  <si>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</si>
  <si>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</si>
  <si>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</si>
  <si>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</si>
  <si>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</si>
  <si>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</si>
  <si>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</si>
  <si>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</si>
  <si>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</si>
  <si>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</si>
  <si>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</si>
  <si>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</si>
  <si>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</si>
  <si>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</si>
  <si>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</si>
  <si>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</si>
  <si>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</si>
  <si>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</si>
  <si>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</si>
  <si>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</si>
  <si>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</si>
  <si>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</si>
  <si>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</si>
  <si>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</si>
  <si>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</si>
  <si>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</si>
  <si>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</si>
  <si>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</si>
  <si>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</si>
  <si>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</si>
  <si>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</si>
  <si>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</si>
  <si>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</si>
  <si>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</si>
  <si>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</si>
  <si>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</si>
  <si>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</si>
  <si>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</si>
  <si>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</si>
  <si>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</si>
  <si>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</si>
  <si>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</si>
  <si>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</si>
  <si>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</si>
  <si>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</si>
  <si>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</si>
  <si>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</si>
  <si>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</si>
  <si>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</si>
  <si>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</si>
  <si>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</si>
  <si>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</si>
  <si>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</si>
  <si>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</si>
  <si>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</si>
  <si>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</si>
  <si>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</si>
  <si>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</si>
  <si>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</si>
  <si>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</si>
  <si>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</si>
  <si>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</si>
  <si>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</si>
  <si>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</si>
  <si>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</si>
  <si>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</si>
  <si>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</si>
  <si>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</si>
  <si>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</si>
  <si>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</si>
  <si>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</si>
  <si>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</si>
  <si>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</si>
  <si>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</si>
  <si>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</si>
  <si>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</si>
  <si>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</si>
  <si>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</si>
  <si>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</si>
  <si>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</si>
  <si>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</si>
  <si>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</si>
  <si>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</si>
  <si>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</si>
  <si>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</si>
  <si>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</si>
  <si>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</si>
  <si>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</si>
  <si>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</si>
  <si>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</si>
  <si>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</si>
  <si>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</si>
  <si>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</si>
  <si>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</si>
  <si>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</si>
  <si>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</si>
  <si>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</si>
  <si>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</si>
  <si>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</si>
  <si>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</si>
  <si>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</si>
  <si>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</si>
  <si>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</si>
  <si>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</si>
  <si>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</si>
  <si>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</si>
  <si>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</si>
  <si>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</si>
  <si>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</si>
  <si>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</si>
  <si>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</si>
  <si>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</si>
  <si>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</si>
  <si>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</si>
  <si>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</si>
  <si>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</si>
  <si>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</si>
  <si>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</si>
  <si>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</si>
  <si>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</si>
  <si>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</si>
  <si>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</si>
  <si>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</si>
  <si>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</si>
  <si>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</si>
  <si>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</si>
  <si>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</si>
  <si>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</si>
  <si>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</si>
  <si>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</si>
  <si>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</si>
  <si>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</si>
  <si>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</si>
  <si>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</si>
  <si>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</si>
  <si>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</si>
  <si>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</si>
  <si>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</si>
  <si>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</si>
  <si>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</si>
  <si>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</si>
  <si>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</si>
  <si>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</si>
  <si>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</si>
  <si>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</si>
  <si>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</si>
  <si>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</si>
  <si>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</si>
  <si>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</si>
  <si>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</si>
  <si>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</si>
  <si>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</si>
  <si>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</si>
  <si>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</si>
  <si>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</si>
  <si>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</si>
  <si>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</si>
  <si>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</si>
  <si>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</si>
  <si>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</si>
  <si>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</si>
  <si>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</si>
  <si>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</si>
  <si>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</si>
  <si>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</si>
  <si>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</si>
  <si>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</si>
  <si>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</si>
  <si>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</si>
  <si>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</si>
  <si>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</si>
  <si>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</si>
  <si>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</si>
  <si>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</si>
  <si>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</si>
  <si>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</si>
  <si>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</si>
  <si>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</si>
  <si>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</si>
  <si>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</si>
  <si>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</si>
  <si>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</si>
  <si>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</si>
  <si>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</si>
  <si>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</si>
  <si>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</si>
  <si>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</si>
  <si>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</si>
  <si>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</si>
  <si>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</si>
  <si>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</si>
  <si>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</si>
  <si>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</si>
  <si>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</si>
  <si>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</si>
  <si>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</si>
  <si>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</si>
  <si>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</si>
  <si>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</si>
  <si>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</si>
  <si>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</si>
  <si>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</si>
  <si>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</si>
  <si>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</si>
  <si>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</si>
  <si>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</si>
  <si>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</si>
  <si>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</si>
  <si>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</si>
  <si>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</si>
  <si>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</si>
  <si>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</si>
  <si>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</si>
  <si>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</si>
  <si>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</si>
  <si>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</si>
  <si>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</si>
  <si>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</si>
  <si>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</si>
  <si>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</si>
  <si>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</si>
  <si>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</si>
  <si>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</si>
  <si>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</si>
  <si>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</si>
  <si>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</si>
  <si>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</si>
  <si>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</si>
  <si>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</si>
  <si>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</si>
  <si>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</si>
  <si>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</si>
  <si>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</si>
  <si>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</si>
  <si>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</si>
  <si>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</si>
  <si>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</si>
  <si>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</si>
  <si>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</si>
  <si>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</si>
  <si>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</si>
  <si>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</si>
  <si>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</si>
  <si>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</si>
  <si>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</si>
  <si>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</si>
  <si>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</si>
  <si>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</si>
  <si>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</si>
  <si>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</si>
  <si>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</si>
  <si>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</si>
  <si>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</si>
  <si>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</si>
  <si>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</si>
  <si>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</si>
  <si>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</si>
  <si>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</si>
  <si>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</si>
  <si>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</si>
  <si>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</si>
  <si>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</si>
  <si>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</si>
  <si>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</si>
  <si>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</si>
  <si>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</si>
  <si>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</si>
  <si>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</si>
  <si>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</si>
  <si>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</si>
  <si>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</si>
  <si>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</si>
  <si>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</si>
  <si>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</si>
  <si>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</si>
  <si>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</si>
  <si>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</si>
  <si>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</si>
  <si>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</si>
  <si>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</si>
  <si>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</si>
  <si>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</si>
  <si>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</si>
  <si>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</si>
  <si>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</si>
  <si>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</si>
  <si>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</si>
  <si>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</si>
  <si>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</si>
  <si>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</si>
  <si>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</si>
  <si>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</si>
  <si>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</si>
  <si>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</si>
  <si>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</si>
  <si>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</si>
  <si>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</si>
  <si>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</si>
  <si>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</si>
  <si>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</si>
  <si>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</si>
  <si>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</si>
  <si>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</si>
  <si>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</si>
  <si>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</si>
  <si>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</si>
  <si>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</si>
  <si>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</si>
  <si>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</si>
  <si>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</si>
  <si>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</si>
  <si>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</si>
  <si>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</si>
  <si>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</si>
  <si>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</si>
  <si>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</si>
  <si>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</si>
  <si>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</si>
  <si>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</si>
  <si>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</si>
  <si>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</si>
  <si>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</si>
  <si>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</si>
  <si>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</si>
  <si>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</si>
  <si>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</si>
  <si>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</si>
  <si>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</si>
  <si>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</si>
  <si>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</si>
  <si>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</si>
  <si>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</si>
  <si>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</si>
  <si>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</si>
  <si>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</si>
  <si>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</si>
  <si>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</si>
  <si>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</si>
  <si>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</si>
  <si>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</si>
  <si>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</si>
  <si>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</si>
  <si>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</si>
  <si>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</si>
  <si>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</si>
  <si>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</si>
  <si>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</si>
  <si>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</si>
  <si>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</si>
  <si>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</si>
  <si>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</si>
  <si>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</si>
  <si>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</si>
  <si>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</si>
  <si>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</si>
  <si>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</si>
  <si>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</si>
  <si>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</si>
  <si>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</si>
  <si>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</si>
  <si>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</si>
  <si>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</si>
  <si>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</si>
  <si>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</si>
  <si>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</si>
  <si>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</si>
  <si>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</si>
  <si>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</si>
  <si>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</si>
  <si>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</si>
  <si>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</si>
  <si>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</si>
  <si>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</si>
  <si>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</si>
  <si>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</si>
  <si>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</si>
  <si>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</si>
  <si>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</si>
  <si>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</si>
  <si>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</si>
  <si>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</si>
  <si>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</si>
  <si>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</si>
  <si>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</si>
  <si>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</si>
  <si>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</si>
  <si>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</si>
  <si>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</si>
  <si>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</si>
  <si>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</si>
  <si>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</si>
  <si>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</si>
  <si>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</si>
  <si>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</si>
  <si>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</si>
  <si>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</si>
  <si>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</si>
  <si>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</si>
  <si>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</si>
  <si>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</si>
  <si>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</si>
  <si>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</si>
  <si>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</si>
  <si>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</si>
  <si>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</si>
  <si>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</si>
  <si>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</si>
  <si>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</si>
  <si>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</si>
  <si>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</si>
  <si>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</si>
  <si>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</si>
  <si>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</si>
  <si>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</si>
  <si>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</si>
  <si>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</si>
  <si>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</si>
  <si>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</si>
  <si>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</si>
  <si>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</si>
  <si>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</si>
  <si>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</si>
  <si>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</si>
  <si>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</si>
  <si>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</si>
  <si>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</si>
  <si>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</si>
  <si>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</si>
  <si>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</si>
  <si>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</si>
  <si>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</si>
  <si>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</si>
  <si>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</si>
  <si>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</si>
  <si>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</si>
  <si>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</si>
  <si>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</si>
  <si>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</si>
  <si>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</si>
  <si>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</si>
  <si>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</si>
  <si>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</si>
  <si>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</si>
  <si>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</si>
  <si>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</si>
  <si>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</si>
  <si>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</si>
  <si>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</si>
  <si>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</si>
  <si>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</si>
  <si>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</si>
  <si>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</si>
  <si>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</si>
  <si>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</si>
  <si>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</si>
  <si>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</si>
  <si>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</si>
  <si>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</si>
  <si>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</si>
  <si>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</si>
  <si>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</si>
  <si>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</si>
  <si>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</si>
  <si>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</si>
  <si>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</si>
  <si>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</si>
  <si>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</si>
  <si>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</si>
  <si>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</si>
  <si>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</si>
  <si>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</si>
  <si>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</si>
  <si>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</si>
  <si>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</si>
  <si>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</si>
  <si>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</si>
  <si>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</si>
  <si>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</si>
  <si>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</si>
  <si>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</si>
  <si>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</si>
  <si>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</si>
  <si>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</si>
  <si>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</si>
  <si>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</si>
  <si>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</si>
  <si>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</si>
  <si>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</si>
  <si>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</si>
  <si>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</si>
  <si>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</si>
  <si>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</si>
  <si>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</si>
  <si>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</si>
  <si>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</si>
  <si>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</si>
  <si>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</si>
  <si>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</si>
  <si>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</si>
  <si>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</si>
  <si>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</si>
  <si>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</si>
  <si>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</si>
  <si>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</si>
  <si>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</si>
  <si>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</si>
  <si>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</si>
  <si>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</si>
  <si>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</si>
  <si>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</si>
  <si>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</si>
  <si>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</si>
  <si>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</si>
  <si>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</si>
  <si>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</si>
  <si>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</si>
  <si>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</si>
  <si>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</si>
  <si>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</si>
  <si>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</si>
  <si>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</si>
  <si>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</si>
  <si>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</si>
  <si>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</si>
  <si>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</si>
  <si>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</si>
  <si>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</si>
  <si>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</si>
  <si>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</si>
  <si>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</si>
  <si>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</si>
  <si>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</si>
  <si>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</si>
  <si>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</si>
  <si>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</si>
  <si>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</si>
  <si>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</si>
  <si>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</si>
  <si>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</si>
  <si>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</si>
  <si>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</si>
  <si>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</si>
  <si>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</si>
  <si>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</si>
  <si>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</si>
  <si>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</si>
  <si>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</si>
  <si>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</si>
  <si>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</si>
  <si>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</si>
  <si>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</si>
  <si>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</si>
  <si>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</si>
  <si>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</si>
  <si>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</si>
  <si>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</si>
  <si>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</si>
  <si>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</si>
  <si>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</si>
  <si>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</si>
  <si>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</si>
  <si>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</si>
  <si>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</si>
  <si>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</si>
  <si>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</si>
  <si>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</si>
  <si>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</si>
  <si>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</si>
  <si>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</si>
  <si>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</si>
  <si>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</si>
  <si>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</si>
  <si>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</si>
  <si>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</si>
  <si>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</si>
  <si>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</si>
  <si>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</si>
  <si>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</si>
  <si>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</si>
  <si>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</si>
  <si>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</si>
  <si>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</si>
  <si>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</si>
  <si>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</si>
  <si>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</si>
  <si>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</si>
  <si>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</si>
  <si>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</si>
  <si>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</si>
  <si>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</si>
  <si>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</si>
  <si>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</si>
  <si>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</si>
  <si>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</si>
  <si>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</si>
  <si>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</si>
  <si>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</si>
  <si>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</si>
  <si>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</si>
  <si>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</si>
  <si>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</si>
  <si>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</si>
  <si>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</si>
  <si>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</si>
  <si>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</si>
  <si>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</si>
  <si>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</si>
  <si>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</si>
  <si>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</si>
  <si>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</si>
  <si>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</si>
  <si>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</si>
  <si>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</si>
  <si>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</si>
  <si>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</si>
  <si>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</si>
  <si>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</si>
  <si>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</si>
  <si>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</si>
  <si>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</si>
  <si>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</si>
  <si>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</si>
  <si>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</si>
  <si>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</si>
  <si>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</si>
  <si>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</si>
  <si>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</si>
  <si>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</si>
  <si>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</si>
  <si>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</si>
  <si>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</si>
  <si>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</si>
  <si>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</si>
  <si>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</si>
  <si>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</si>
  <si>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</si>
  <si>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</si>
  <si>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</si>
  <si>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</si>
  <si>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</si>
  <si>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</si>
  <si>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</si>
  <si>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</si>
  <si>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</si>
  <si>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</si>
  <si>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</si>
  <si>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</si>
  <si>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</si>
  <si>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</si>
  <si>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</si>
  <si>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</si>
  <si>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</si>
  <si>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</si>
  <si>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</si>
  <si>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</si>
  <si>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</si>
  <si>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</si>
  <si>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</si>
  <si>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</si>
  <si>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</si>
  <si>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</si>
  <si>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</si>
  <si>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</si>
  <si>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</si>
  <si>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</si>
  <si>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</si>
  <si>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</si>
  <si>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</si>
  <si>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</si>
  <si>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</si>
  <si>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</si>
  <si>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</si>
  <si>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</si>
  <si>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</si>
  <si>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</si>
  <si>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</si>
  <si>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</si>
  <si>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</si>
  <si>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</si>
  <si>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</si>
  <si>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</si>
  <si>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</si>
  <si>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</si>
  <si>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</si>
  <si>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</si>
  <si>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</si>
  <si>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</si>
  <si>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</si>
  <si>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</si>
  <si>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</si>
  <si>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</si>
  <si>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</si>
  <si>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</si>
  <si>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</si>
  <si>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</si>
  <si>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</si>
  <si>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</si>
  <si>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</si>
  <si>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</si>
  <si>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</si>
  <si>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</si>
  <si>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</si>
  <si>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</si>
  <si>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</si>
  <si>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</si>
  <si>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</si>
  <si>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</si>
  <si>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</si>
  <si>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</si>
  <si>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</si>
  <si>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</si>
  <si>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</si>
  <si>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</si>
  <si>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</si>
  <si>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</si>
  <si>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</si>
  <si>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</si>
  <si>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</si>
  <si>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</si>
  <si>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</si>
  <si>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</si>
  <si>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</si>
  <si>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</si>
  <si>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</si>
  <si>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</si>
  <si>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</si>
  <si>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</si>
  <si>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</si>
  <si>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</si>
  <si>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</si>
  <si>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</si>
  <si>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</si>
  <si>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</si>
  <si>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</si>
  <si>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</si>
  <si>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</si>
  <si>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</si>
  <si>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</si>
  <si>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</si>
  <si>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</si>
  <si>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</si>
  <si>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</si>
  <si>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</si>
  <si>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</si>
  <si>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</si>
  <si>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</si>
  <si>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</si>
  <si>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</si>
  <si>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</si>
  <si>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</si>
  <si>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</si>
  <si>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</si>
  <si>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</si>
  <si>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</si>
  <si>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</si>
  <si>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</si>
  <si>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</si>
  <si>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</si>
  <si>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</si>
  <si>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</si>
  <si>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</si>
  <si>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</si>
  <si>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</si>
  <si>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</si>
  <si>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</si>
  <si>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</si>
  <si>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</si>
  <si>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</si>
  <si>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</si>
  <si>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</si>
  <si>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</si>
  <si>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</si>
  <si>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</si>
  <si>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</si>
  <si>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</si>
  <si>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</si>
  <si>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</si>
  <si>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</si>
  <si>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</si>
  <si>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</si>
  <si>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</si>
  <si>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</si>
  <si>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</si>
  <si>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</si>
  <si>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</si>
  <si>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</si>
  <si>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</si>
  <si>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</si>
  <si>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</si>
  <si>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</si>
  <si>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</si>
  <si>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</si>
  <si>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</si>
  <si>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</si>
  <si>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</si>
  <si>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</si>
  <si>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</si>
  <si>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</si>
  <si>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</si>
  <si>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</si>
  <si>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</si>
  <si>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</si>
  <si>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</si>
  <si>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</si>
  <si>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</si>
  <si>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</si>
  <si>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</si>
  <si>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</si>
  <si>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</si>
  <si>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</si>
  <si>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</si>
  <si>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</si>
  <si>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</si>
  <si>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</si>
  <si>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</si>
  <si>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</si>
  <si>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</si>
  <si>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</si>
  <si>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</si>
  <si>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</si>
  <si>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</si>
  <si>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</si>
  <si>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</si>
  <si>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</si>
  <si>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</si>
  <si>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</si>
  <si>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</si>
  <si>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</si>
  <si>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</si>
  <si>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</si>
  <si>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</si>
  <si>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</si>
  <si>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</si>
  <si>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</si>
  <si>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</si>
  <si>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</si>
  <si>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</si>
  <si>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</si>
  <si>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</si>
  <si>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</si>
  <si>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</si>
  <si>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</si>
  <si>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</si>
  <si>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</si>
  <si>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</si>
  <si>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</si>
  <si>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</si>
  <si>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</si>
  <si>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</si>
  <si>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</si>
  <si>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</si>
  <si>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</si>
  <si>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</si>
  <si>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</si>
  <si>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</si>
  <si>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</si>
  <si>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</si>
  <si>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</si>
  <si>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</si>
  <si>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</si>
  <si>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</si>
  <si>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</si>
  <si>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</si>
  <si>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</si>
  <si>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</si>
  <si>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</si>
  <si>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</si>
  <si>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</si>
  <si>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</si>
  <si>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</si>
  <si>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</si>
  <si>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</si>
  <si>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</si>
  <si>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</si>
  <si>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</si>
  <si>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</si>
  <si>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</si>
  <si>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</si>
  <si>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</si>
  <si>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</si>
  <si>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</si>
  <si>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</si>
  <si>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</si>
  <si>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</si>
  <si>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</si>
  <si>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</si>
  <si>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</si>
  <si>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</si>
  <si>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</si>
  <si>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</si>
  <si>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</si>
  <si>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</si>
  <si>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</si>
  <si>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</si>
  <si>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</si>
  <si>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</si>
  <si>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</si>
  <si>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</si>
  <si>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</si>
  <si>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</si>
  <si>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</si>
  <si>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</si>
  <si>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</si>
  <si>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</si>
  <si>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</si>
  <si>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</si>
  <si>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</si>
  <si>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</si>
  <si>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</si>
  <si>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</si>
  <si>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</si>
  <si>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</si>
  <si>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</si>
  <si>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</si>
  <si>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</si>
  <si>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</si>
  <si>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</si>
  <si>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</si>
  <si>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</si>
  <si>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</si>
  <si>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</si>
  <si>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</si>
  <si>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</si>
  <si>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</si>
  <si>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</si>
  <si>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</si>
  <si>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</si>
  <si>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</si>
  <si>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</si>
  <si>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</si>
  <si>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</si>
  <si>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</si>
  <si>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</si>
  <si>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</si>
  <si>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</si>
  <si>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</si>
  <si>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</si>
  <si>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</si>
  <si>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</si>
  <si>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</si>
  <si>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</si>
  <si>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</si>
  <si>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</si>
  <si>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</si>
  <si>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</si>
  <si>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</si>
  <si>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</si>
  <si>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</si>
  <si>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</si>
  <si>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</si>
  <si>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</si>
  <si>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</si>
  <si>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</si>
  <si>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</si>
  <si>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</si>
  <si>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</si>
  <si>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</si>
  <si>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</si>
  <si>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</si>
  <si>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</si>
  <si>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</si>
  <si>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</si>
  <si>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</si>
  <si>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</si>
  <si>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</si>
  <si>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</si>
  <si>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</si>
  <si>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</si>
  <si>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</si>
  <si>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</si>
  <si>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</si>
  <si>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</si>
  <si>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</si>
  <si>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</si>
  <si>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</si>
  <si>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</si>
  <si>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</si>
  <si>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</si>
  <si>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</si>
  <si>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</si>
  <si>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</si>
  <si>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</si>
  <si>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</si>
  <si>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</si>
  <si>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</si>
  <si>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</si>
  <si>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</si>
  <si>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</si>
  <si>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</si>
  <si>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</si>
  <si>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</si>
  <si>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</si>
  <si>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</si>
  <si>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</si>
  <si>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</si>
  <si>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</si>
  <si>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</si>
  <si>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</si>
  <si>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</si>
  <si>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</si>
  <si>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</si>
  <si>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</si>
  <si>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</si>
  <si>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</si>
  <si>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</si>
  <si>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</si>
  <si>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</si>
  <si>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</si>
  <si>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</si>
  <si>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</si>
  <si>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</si>
  <si>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</si>
  <si>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</si>
  <si>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</si>
  <si>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</si>
  <si>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</si>
  <si>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</si>
  <si>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</si>
  <si>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</si>
  <si>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</si>
  <si>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</si>
  <si>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</si>
  <si>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</si>
  <si>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</si>
  <si>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</si>
  <si>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</si>
  <si>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</si>
  <si>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</si>
  <si>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</si>
  <si>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</si>
  <si>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</si>
  <si>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</si>
  <si>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</si>
  <si>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</si>
  <si>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</si>
  <si>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</si>
  <si>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</si>
  <si>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</si>
  <si>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</si>
  <si>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</si>
  <si>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</si>
  <si>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</si>
  <si>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</si>
  <si>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</si>
  <si>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</si>
  <si>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</si>
  <si>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</si>
  <si>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</si>
  <si>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</si>
  <si>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</si>
  <si>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</si>
  <si>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</si>
  <si>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</si>
  <si>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</si>
  <si>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</si>
  <si>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</si>
  <si>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</si>
  <si>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</si>
  <si>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</si>
  <si>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</si>
  <si>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</si>
  <si>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</si>
  <si>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</si>
  <si>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</si>
  <si>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</si>
  <si>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</si>
  <si>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</si>
  <si>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</si>
  <si>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</si>
  <si>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</si>
  <si>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</si>
  <si>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</si>
  <si>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</si>
  <si>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</si>
  <si>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</si>
  <si>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</si>
  <si>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</si>
  <si>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</si>
  <si>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</si>
  <si>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</si>
  <si>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</si>
  <si>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</si>
  <si>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</si>
  <si>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</si>
  <si>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</si>
  <si>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</si>
  <si>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</si>
  <si>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</si>
  <si>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</si>
  <si>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</si>
  <si>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</si>
  <si>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</si>
  <si>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</si>
  <si>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</si>
  <si>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</si>
  <si>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</si>
  <si>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</si>
  <si>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</si>
  <si>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</si>
  <si>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</si>
  <si>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</si>
  <si>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</si>
  <si>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</si>
  <si>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</si>
  <si>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</si>
  <si>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</si>
  <si>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</si>
  <si>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</si>
  <si>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</si>
  <si>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</si>
  <si>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</si>
  <si>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</si>
  <si>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</si>
  <si>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</si>
  <si>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</si>
  <si>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</si>
  <si>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</si>
  <si>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</si>
  <si>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</si>
  <si>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</si>
  <si>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</si>
  <si>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</si>
  <si>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</si>
  <si>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</si>
  <si>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</si>
  <si>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</si>
  <si>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</si>
  <si>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</si>
  <si>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</si>
  <si>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</si>
  <si>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</si>
  <si>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</si>
  <si>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</si>
  <si>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</si>
  <si>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</si>
  <si>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</si>
  <si>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</si>
  <si>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</si>
  <si>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</si>
  <si>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</si>
  <si>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</si>
  <si>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</si>
  <si>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</si>
  <si>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</si>
  <si>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</si>
  <si>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</si>
  <si>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</si>
  <si>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</si>
  <si>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</si>
  <si>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</si>
  <si>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</si>
  <si>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</si>
  <si>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</si>
  <si>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</si>
  <si>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</si>
  <si>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</si>
  <si>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</si>
  <si>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</si>
  <si>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</si>
  <si>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</si>
  <si>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</si>
  <si>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</si>
  <si>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</si>
  <si>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</si>
  <si>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</si>
  <si>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</si>
  <si>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</si>
  <si>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</si>
  <si>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</si>
  <si>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</si>
  <si>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</si>
  <si>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</si>
  <si>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</si>
  <si>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</si>
  <si>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</si>
  <si>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</si>
  <si>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</si>
  <si>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</si>
  <si>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</si>
  <si>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</si>
  <si>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</si>
  <si>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</si>
  <si>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</si>
  <si>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</si>
  <si>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</si>
  <si>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</si>
  <si>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</si>
  <si>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</si>
  <si>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</si>
  <si>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</si>
  <si>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</si>
  <si>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</si>
  <si>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</si>
  <si>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</si>
  <si>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</si>
  <si>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</si>
  <si>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</si>
  <si>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</si>
  <si>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</si>
  <si>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</si>
  <si>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</si>
  <si>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</si>
  <si>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</si>
  <si>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</si>
  <si>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</si>
  <si>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</si>
  <si>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</si>
  <si>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</si>
  <si>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</si>
  <si>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</si>
  <si>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</si>
  <si>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</si>
  <si>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</si>
  <si>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</si>
  <si>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</si>
  <si>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</si>
  <si>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</si>
  <si>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</si>
  <si>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</si>
  <si>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</si>
  <si>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</si>
  <si>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</si>
  <si>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</si>
  <si>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</si>
  <si>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</si>
  <si>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</si>
  <si>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</si>
  <si>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</si>
  <si>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</si>
  <si>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</si>
  <si>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</si>
  <si>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</si>
  <si>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</si>
  <si>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</si>
  <si>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</si>
  <si>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</si>
  <si>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</si>
  <si>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</si>
  <si>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</si>
  <si>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</si>
  <si>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</si>
  <si>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</si>
  <si>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</si>
  <si>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</si>
  <si>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</si>
  <si>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</si>
  <si>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</si>
  <si>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</si>
  <si>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</si>
  <si>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</si>
  <si>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</si>
  <si>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</si>
  <si>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</si>
  <si>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</si>
  <si>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</si>
  <si>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</si>
  <si>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</si>
  <si>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</si>
  <si>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</si>
  <si>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</si>
  <si>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</si>
  <si>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</si>
  <si>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</si>
  <si>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</si>
  <si>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</si>
  <si>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</si>
  <si>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</si>
  <si>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</si>
  <si>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</si>
  <si>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</si>
  <si>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</si>
  <si>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</si>
  <si>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</si>
  <si>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</si>
  <si>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</si>
  <si>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</si>
  <si>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</si>
  <si>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</si>
  <si>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</si>
  <si>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</si>
  <si>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</si>
  <si>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</si>
  <si>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</si>
  <si>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</si>
  <si>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</si>
  <si>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</si>
  <si>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</si>
  <si>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</si>
  <si>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</si>
  <si>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</si>
  <si>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</si>
  <si>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</si>
  <si>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</si>
  <si>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</si>
  <si>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</si>
  <si>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</si>
  <si>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</si>
  <si>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</si>
  <si>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</si>
  <si>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</si>
  <si>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</si>
  <si>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</si>
  <si>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</si>
  <si>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</si>
  <si>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</si>
  <si>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</si>
  <si>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</si>
  <si>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</si>
  <si>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</si>
  <si>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</si>
  <si>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</si>
  <si>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</si>
  <si>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</si>
  <si>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</si>
  <si>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</si>
  <si>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</si>
  <si>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</si>
  <si>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</si>
  <si>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</si>
  <si>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</si>
  <si>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</si>
  <si>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</si>
  <si>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</si>
  <si>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</si>
  <si>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</si>
  <si>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</si>
  <si>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</si>
  <si>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</si>
  <si>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</si>
  <si>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</si>
  <si>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</si>
  <si>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</si>
  <si>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</si>
  <si>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</si>
  <si>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</si>
  <si>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</si>
  <si>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</si>
  <si>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</si>
  <si>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</si>
  <si>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</si>
  <si>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</si>
  <si>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</si>
  <si>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</si>
  <si>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</si>
  <si>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</si>
  <si>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</si>
  <si>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</si>
  <si>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</si>
  <si>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</si>
  <si>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</si>
  <si>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</si>
  <si>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</si>
  <si>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</si>
  <si>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</si>
  <si>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</si>
  <si>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</si>
  <si>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</si>
  <si>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</si>
  <si>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</si>
  <si>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</si>
  <si>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</si>
  <si>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</si>
  <si>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</si>
  <si>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</si>
  <si>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</si>
  <si>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</si>
  <si>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</si>
  <si>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</si>
  <si>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</si>
  <si>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</si>
  <si>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</si>
  <si>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</si>
  <si>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</si>
  <si>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</si>
  <si>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</si>
  <si>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</si>
  <si>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</si>
  <si>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</si>
  <si>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</si>
  <si>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</si>
  <si>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</si>
  <si>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</si>
  <si>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</si>
  <si>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</si>
  <si>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</si>
  <si>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</si>
  <si>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</si>
  <si>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</si>
  <si>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</si>
  <si>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</si>
  <si>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</si>
  <si>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</si>
  <si>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</si>
  <si>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</si>
  <si>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</si>
  <si>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</si>
  <si>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</si>
  <si>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</si>
  <si>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</si>
  <si>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</si>
  <si>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</si>
  <si>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</si>
  <si>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</si>
  <si>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</si>
  <si>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</si>
  <si>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</si>
  <si>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</si>
  <si>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</si>
  <si>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</si>
  <si>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</si>
  <si>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</si>
  <si>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</si>
  <si>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</si>
  <si>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</si>
  <si>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</si>
  <si>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</si>
  <si>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</si>
  <si>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</si>
  <si>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</si>
  <si>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</si>
  <si>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</si>
  <si>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</si>
  <si>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</si>
  <si>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</si>
  <si>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</si>
  <si>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</si>
  <si>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</si>
  <si>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</si>
  <si>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</si>
  <si>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</si>
  <si>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</si>
  <si>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</si>
  <si>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</si>
  <si>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</si>
  <si>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</si>
  <si>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</si>
  <si>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</si>
  <si>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</si>
  <si>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</si>
  <si>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</si>
  <si>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</si>
  <si>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</si>
  <si>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</si>
  <si>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</si>
  <si>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</si>
  <si>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</si>
  <si>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</si>
  <si>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</si>
  <si>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</si>
  <si>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</si>
  <si>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</si>
  <si>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</si>
  <si>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</si>
  <si>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</si>
  <si>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</si>
  <si>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</si>
  <si>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</si>
  <si>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</si>
  <si>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</si>
  <si>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</si>
  <si>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</si>
  <si>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</si>
  <si>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</si>
  <si>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</si>
  <si>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</si>
  <si>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</si>
  <si>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</si>
  <si>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</si>
  <si>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</si>
  <si>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</si>
  <si>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</si>
  <si>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</si>
  <si>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</si>
  <si>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</si>
  <si>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</si>
  <si>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</si>
  <si>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</si>
  <si>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</si>
  <si>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</si>
  <si>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</si>
  <si>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</si>
  <si>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</si>
  <si>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</si>
  <si>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</si>
  <si>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</si>
  <si>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</si>
  <si>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</si>
  <si>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</si>
  <si>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</si>
  <si>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</si>
  <si>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</si>
  <si>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</si>
  <si>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</si>
  <si>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</si>
  <si>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</si>
  <si>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</si>
  <si>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</si>
  <si>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</si>
  <si>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</si>
  <si>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</si>
  <si>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</si>
  <si>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</si>
  <si>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</si>
  <si>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</si>
  <si>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</si>
  <si>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</si>
  <si>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</si>
  <si>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</si>
  <si>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</si>
  <si>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</si>
  <si>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</si>
  <si>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</si>
  <si>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</si>
  <si>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</si>
  <si>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</si>
  <si>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</si>
  <si>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</si>
  <si>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</si>
  <si>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</si>
  <si>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</si>
  <si>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</si>
  <si>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</si>
  <si>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</si>
  <si>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</si>
  <si>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</si>
  <si>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</si>
  <si>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</si>
  <si>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</si>
  <si>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</si>
  <si>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</si>
  <si>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</si>
  <si>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</si>
  <si>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</si>
  <si>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</si>
  <si>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</si>
  <si>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</si>
  <si>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</si>
  <si>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</si>
  <si>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</si>
  <si>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</si>
  <si>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</si>
  <si>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</si>
  <si>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</si>
  <si>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</si>
  <si>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</si>
  <si>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</si>
  <si>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</si>
  <si>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</si>
  <si>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</si>
  <si>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</si>
  <si>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</si>
  <si>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</si>
  <si>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</si>
  <si>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</si>
  <si>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</si>
  <si>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</si>
  <si>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</si>
  <si>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</si>
  <si>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</si>
  <si>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</si>
  <si>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</si>
  <si>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</si>
  <si>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</si>
  <si>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</si>
  <si>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</si>
  <si>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</si>
  <si>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</si>
  <si>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</si>
  <si>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</si>
  <si>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</si>
  <si>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</si>
  <si>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</si>
  <si>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</si>
  <si>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</si>
  <si>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</si>
  <si>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</si>
  <si>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</si>
  <si>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</si>
  <si>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</si>
  <si>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</si>
  <si>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</si>
  <si>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</si>
  <si>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</si>
  <si>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</si>
  <si>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</si>
  <si>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</si>
  <si>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</si>
  <si>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</si>
  <si>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</si>
  <si>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</si>
  <si>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</si>
  <si>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</si>
  <si>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</si>
  <si>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</si>
  <si>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</si>
  <si>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</si>
  <si>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</si>
  <si>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</si>
  <si>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</si>
  <si>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</si>
  <si>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</si>
  <si>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</si>
  <si>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</si>
  <si>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</si>
  <si>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</si>
  <si>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</si>
  <si>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</si>
  <si>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</si>
  <si>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</si>
  <si>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</si>
  <si>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</si>
  <si>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</si>
  <si>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</si>
  <si>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</si>
  <si>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</si>
  <si>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</si>
  <si>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</si>
  <si>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</si>
  <si>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</si>
  <si>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</si>
  <si>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</si>
  <si>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</si>
  <si>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</si>
  <si>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</si>
  <si>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</si>
  <si>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</si>
  <si>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</si>
  <si>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</si>
  <si>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</si>
  <si>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</si>
  <si>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</si>
  <si>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</si>
  <si>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</si>
  <si>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</si>
  <si>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</si>
  <si>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</si>
  <si>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</si>
  <si>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</si>
  <si>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</si>
  <si>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</si>
  <si>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</si>
  <si>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</si>
  <si>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</si>
  <si>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</si>
  <si>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</si>
  <si>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</si>
  <si>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</si>
  <si>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</si>
  <si>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</si>
  <si>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</si>
  <si>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</si>
  <si>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</si>
  <si>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</si>
  <si>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</si>
  <si>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</si>
  <si>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</si>
  <si>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</si>
  <si>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</si>
  <si>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</si>
  <si>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</si>
  <si>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</si>
  <si>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</si>
  <si>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</si>
  <si>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</si>
  <si>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</si>
  <si>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</si>
  <si>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</si>
  <si>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</si>
  <si>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</si>
  <si>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</si>
  <si>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</si>
  <si>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</si>
  <si>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</si>
  <si>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</si>
  <si>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</si>
  <si>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</si>
  <si>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</si>
  <si>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</si>
  <si>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</si>
  <si>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</si>
  <si>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</si>
  <si>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</si>
  <si>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</si>
  <si>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</si>
  <si>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</si>
  <si>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</si>
  <si>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</si>
  <si>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</si>
  <si>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</si>
  <si>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</si>
  <si>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</si>
  <si>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</si>
  <si>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</si>
  <si>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</si>
  <si>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</si>
  <si>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</si>
  <si>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</si>
  <si>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</si>
  <si>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</si>
  <si>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</si>
  <si>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</si>
  <si>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</si>
  <si>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</si>
  <si>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</si>
  <si>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</si>
  <si>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</si>
  <si>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</si>
  <si>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</si>
  <si>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</si>
  <si>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</si>
  <si>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</si>
  <si>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</si>
  <si>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</si>
  <si>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</si>
  <si>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</si>
  <si>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</si>
  <si>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</si>
  <si>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</si>
  <si>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</si>
  <si>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</si>
  <si>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</si>
  <si>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</si>
  <si>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</si>
  <si>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</si>
  <si>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</si>
  <si>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</si>
  <si>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</si>
  <si>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</si>
  <si>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</si>
  <si>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</si>
  <si>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</si>
  <si>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</si>
  <si>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</si>
  <si>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</si>
  <si>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</si>
  <si>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</si>
  <si>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</si>
  <si>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</si>
  <si>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</si>
  <si>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</si>
  <si>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</si>
  <si>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</si>
  <si>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</si>
  <si>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</si>
  <si>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</si>
  <si>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</si>
  <si>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</si>
  <si>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</si>
  <si>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</si>
  <si>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</si>
  <si>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</si>
  <si>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</si>
  <si>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</si>
  <si>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</si>
  <si>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</si>
  <si>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</si>
  <si>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</si>
  <si>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</si>
  <si>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</si>
  <si>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</si>
  <si>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</si>
  <si>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</si>
  <si>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</si>
  <si>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</si>
  <si>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</si>
  <si>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</si>
  <si>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</si>
  <si>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</si>
  <si>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</si>
  <si>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</si>
  <si>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</si>
  <si>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</si>
  <si>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</si>
  <si>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</si>
  <si>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</si>
  <si>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</si>
  <si>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</si>
  <si>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</si>
  <si>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</si>
  <si>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</si>
  <si>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</si>
  <si>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</si>
  <si>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</si>
  <si>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</si>
  <si>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</si>
  <si>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</si>
  <si>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</si>
  <si>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</si>
  <si>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</si>
  <si>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</si>
  <si>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</si>
  <si>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</si>
  <si>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</si>
  <si>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</si>
  <si>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</si>
  <si>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</si>
  <si>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</si>
  <si>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</si>
  <si>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</si>
  <si>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</si>
  <si>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</si>
  <si>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</si>
  <si>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</si>
  <si>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</si>
  <si>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</si>
  <si>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</si>
  <si>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</si>
  <si>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</si>
  <si>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</si>
  <si>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</si>
  <si>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</si>
  <si>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</si>
  <si>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</si>
  <si>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</si>
  <si>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</si>
  <si>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</si>
  <si>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</si>
  <si>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</si>
  <si>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</si>
  <si>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</si>
  <si>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</si>
  <si>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</si>
  <si>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</si>
  <si>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</si>
  <si>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</si>
  <si>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</si>
  <si>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</si>
  <si>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</si>
  <si>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</si>
  <si>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</si>
  <si>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</si>
  <si>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</si>
  <si>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</si>
  <si>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</si>
  <si>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</si>
  <si>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</si>
  <si>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</si>
  <si>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</si>
  <si>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</si>
  <si>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</si>
  <si>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</si>
  <si>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</si>
  <si>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</si>
  <si>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</si>
  <si>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</si>
  <si>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</si>
  <si>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</si>
  <si>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</si>
  <si>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</si>
  <si>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</si>
  <si>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</si>
  <si>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</si>
  <si>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</si>
  <si>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</si>
  <si>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</si>
  <si>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</si>
  <si>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</si>
  <si>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</si>
  <si>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</si>
  <si>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</si>
  <si>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</si>
  <si>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</si>
  <si>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</si>
  <si>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</si>
  <si>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</si>
  <si>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</si>
  <si>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</si>
  <si>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</si>
  <si>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</si>
  <si>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</si>
  <si>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</si>
  <si>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</si>
  <si>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</si>
  <si>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</si>
  <si>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</si>
  <si>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</si>
  <si>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</si>
  <si>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</si>
  <si>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</si>
  <si>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</si>
  <si>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</si>
  <si>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</si>
  <si>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</si>
  <si>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</si>
  <si>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</si>
  <si>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</si>
  <si>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</si>
  <si>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</si>
  <si>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</si>
  <si>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</si>
  <si>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</si>
  <si>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</si>
  <si>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</si>
  <si>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</si>
  <si>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</si>
  <si>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</si>
  <si>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</si>
  <si>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</si>
  <si>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</si>
  <si>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</si>
  <si>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</si>
  <si>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</si>
  <si>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</si>
  <si>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</si>
  <si>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</si>
  <si>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</si>
  <si>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</si>
  <si>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</si>
  <si>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</si>
  <si>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</si>
  <si>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</si>
  <si>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</si>
  <si>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</si>
  <si>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</si>
  <si>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</si>
  <si>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</si>
  <si>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</si>
  <si>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</si>
  <si>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</si>
  <si>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</si>
  <si>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</si>
  <si>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</si>
  <si>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</si>
  <si>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</si>
  <si>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</si>
  <si>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</si>
  <si>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</si>
  <si>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</si>
  <si>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</si>
  <si>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</si>
  <si>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</si>
  <si>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</si>
  <si>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</si>
  <si>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</si>
  <si>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</si>
  <si>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</si>
  <si>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</si>
  <si>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</si>
  <si>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</si>
  <si>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</si>
  <si>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</si>
  <si>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</si>
  <si>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</si>
  <si>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</si>
  <si>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</si>
  <si>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</si>
  <si>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</si>
  <si>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</si>
  <si>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</si>
  <si>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</si>
  <si>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</si>
  <si>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</si>
  <si>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</si>
  <si>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</si>
  <si>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</si>
  <si>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</si>
  <si>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</si>
  <si>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</si>
  <si>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</si>
  <si>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</si>
  <si>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</si>
  <si>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</si>
  <si>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</si>
  <si>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</si>
  <si>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</si>
  <si>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</si>
  <si>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</si>
  <si>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</si>
  <si>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</si>
  <si>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</si>
  <si>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</si>
  <si>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</si>
  <si>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</si>
  <si>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</si>
  <si>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</si>
  <si>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</si>
  <si>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</si>
  <si>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</si>
  <si>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</si>
  <si>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</si>
  <si>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</si>
  <si>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</si>
  <si>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</si>
  <si>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</si>
  <si>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</si>
  <si>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</si>
  <si>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</si>
  <si>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</si>
  <si>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</si>
  <si>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</si>
  <si>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</si>
  <si>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</si>
  <si>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</si>
  <si>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</si>
  <si>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</si>
  <si>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</si>
  <si>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</si>
  <si>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</si>
  <si>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</si>
  <si>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</si>
  <si>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</si>
  <si>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</si>
  <si>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</si>
  <si>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</si>
  <si>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</si>
  <si>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</si>
  <si>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</si>
  <si>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</si>
  <si>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</si>
  <si>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</si>
  <si>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</si>
  <si>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</si>
  <si>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</si>
  <si>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</si>
  <si>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</si>
  <si>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</si>
  <si>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</si>
  <si>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</si>
  <si>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</si>
  <si>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</si>
  <si>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</si>
  <si>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</si>
  <si>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</si>
  <si>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</si>
  <si>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</si>
  <si>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</si>
  <si>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</si>
  <si>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</si>
  <si>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</si>
  <si>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</si>
  <si>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</si>
  <si>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</si>
  <si>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</si>
  <si>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</si>
  <si>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</si>
  <si>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</si>
  <si>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</si>
  <si>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</si>
  <si>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</si>
  <si>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</si>
  <si>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</si>
  <si>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</si>
  <si>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</si>
  <si>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</si>
  <si>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</si>
  <si>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</si>
  <si>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</si>
  <si>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</si>
  <si>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</si>
  <si>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</si>
  <si>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</si>
  <si>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</si>
  <si>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</si>
  <si>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</si>
  <si>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</si>
  <si>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</si>
  <si>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</si>
  <si>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</si>
  <si>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</si>
  <si>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</si>
  <si>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</si>
  <si>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</si>
  <si>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</si>
  <si>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</si>
  <si>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</si>
  <si>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</si>
  <si>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</si>
  <si>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</si>
  <si>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</si>
  <si>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</si>
  <si>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</si>
  <si>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</si>
  <si>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</si>
  <si>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</si>
  <si>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</si>
  <si>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</si>
  <si>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</si>
  <si>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</si>
  <si>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</si>
  <si>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</si>
  <si>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</si>
  <si>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</si>
  <si>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</si>
  <si>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</si>
  <si>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</si>
  <si>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</si>
  <si>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</si>
  <si>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</si>
  <si>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</si>
  <si>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</si>
  <si>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</si>
  <si>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</si>
  <si>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</si>
  <si>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</si>
  <si>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</si>
  <si>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</si>
  <si>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</si>
  <si>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</si>
  <si>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</si>
  <si>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</si>
  <si>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</si>
  <si>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</si>
  <si>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</si>
  <si>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</si>
  <si>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</si>
  <si>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</si>
  <si>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</si>
  <si>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</si>
  <si>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</si>
  <si>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</si>
  <si>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</si>
  <si>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</si>
  <si>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</si>
  <si>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</si>
  <si>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</si>
  <si>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</si>
  <si>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</si>
  <si>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</si>
  <si>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</si>
  <si>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</si>
  <si>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</si>
  <si>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</si>
  <si>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</si>
  <si>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</si>
  <si>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</si>
  <si>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</si>
  <si>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</si>
  <si>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</si>
  <si>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</si>
  <si>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</si>
  <si>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</si>
  <si>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</si>
  <si>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</si>
  <si>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</si>
  <si>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</si>
  <si>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</si>
  <si>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</si>
  <si>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</si>
  <si>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</si>
  <si>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</si>
  <si>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</si>
  <si>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</si>
  <si>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</si>
  <si>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</si>
  <si>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</si>
  <si>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</si>
  <si>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</si>
  <si>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</si>
  <si>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</si>
  <si>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</si>
  <si>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</si>
  <si>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</si>
  <si>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</si>
  <si>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</si>
  <si>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</si>
  <si>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</si>
  <si>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</si>
  <si>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</si>
  <si>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</si>
  <si>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</si>
  <si>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</si>
  <si>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</si>
  <si>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</si>
  <si>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</si>
  <si>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</si>
  <si>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</si>
  <si>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</si>
  <si>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</si>
  <si>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</si>
  <si>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</si>
  <si>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</si>
  <si>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</si>
  <si>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</si>
  <si>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</si>
  <si>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</si>
  <si>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</si>
  <si>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</si>
  <si>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</si>
  <si>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</si>
  <si>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</si>
  <si>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</si>
  <si>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</si>
  <si>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</si>
  <si>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</si>
  <si>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</si>
  <si>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</si>
  <si>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</si>
  <si>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</si>
  <si>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</si>
  <si>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</si>
  <si>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</si>
  <si>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</si>
  <si>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</si>
  <si>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</si>
  <si>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</si>
  <si>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</si>
  <si>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</si>
  <si>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</si>
  <si>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</si>
  <si>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</si>
  <si>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</si>
  <si>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</si>
  <si>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</si>
  <si>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</si>
  <si>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</si>
  <si>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</si>
  <si>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</si>
  <si>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</si>
  <si>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</si>
  <si>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</si>
  <si>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</si>
  <si>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</si>
  <si>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</si>
  <si>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</si>
  <si>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</si>
  <si>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</si>
  <si>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</si>
  <si>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</si>
  <si>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</si>
  <si>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</si>
  <si>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</si>
  <si>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</si>
  <si>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</si>
  <si>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</si>
  <si>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</si>
  <si>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</si>
  <si>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</si>
  <si>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</si>
  <si>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</si>
  <si>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</si>
  <si>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</si>
  <si>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</si>
  <si>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</si>
  <si>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</si>
  <si>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</si>
  <si>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</si>
  <si>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</si>
  <si>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</si>
  <si>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</si>
  <si>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</si>
  <si>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</si>
  <si>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</si>
  <si>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</si>
  <si>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</si>
  <si>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</si>
  <si>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</si>
  <si>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</si>
  <si>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</si>
  <si>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</si>
  <si>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</si>
  <si>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</si>
  <si>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</si>
  <si>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</si>
  <si>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</si>
  <si>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</si>
  <si>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</si>
  <si>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</si>
  <si>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</si>
  <si>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</si>
  <si>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</si>
  <si>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</si>
  <si>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</si>
  <si>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</si>
  <si>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</si>
  <si>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</si>
  <si>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</si>
  <si>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</si>
  <si>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</si>
  <si>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</si>
  <si>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</si>
  <si>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</si>
  <si>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</si>
  <si>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</si>
  <si>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</si>
  <si>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</si>
  <si>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</si>
  <si>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</si>
  <si>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</si>
  <si>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</si>
  <si>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</si>
  <si>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</si>
  <si>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</si>
  <si>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</si>
  <si>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</si>
  <si>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</si>
  <si>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</si>
  <si>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</si>
  <si>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</si>
  <si>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</si>
  <si>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</si>
  <si>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</si>
  <si>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</si>
  <si>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</si>
  <si>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</si>
  <si>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</si>
  <si>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</si>
  <si>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</si>
  <si>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</si>
  <si>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</si>
  <si>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</si>
  <si>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</si>
  <si>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</si>
  <si>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</si>
  <si>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</si>
  <si>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</si>
  <si>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</si>
  <si>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</si>
  <si>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</si>
  <si>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</si>
  <si>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</si>
  <si>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</si>
  <si>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</si>
  <si>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</si>
  <si>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</si>
  <si>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</si>
  <si>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</si>
  <si>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</si>
  <si>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</si>
  <si>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</si>
  <si>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</si>
  <si>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</si>
  <si>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</si>
  <si>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</si>
  <si>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</si>
  <si>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</si>
  <si>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</si>
  <si>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</si>
  <si>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</si>
  <si>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</si>
  <si>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</si>
  <si>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</si>
  <si>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</si>
  <si>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</si>
  <si>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</si>
  <si>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</si>
  <si>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</si>
  <si>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</si>
  <si>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</si>
  <si>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</si>
  <si>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</si>
  <si>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</si>
  <si>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</si>
  <si>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</si>
  <si>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</si>
  <si>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</si>
  <si>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</si>
  <si>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</si>
  <si>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</si>
  <si>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</si>
  <si>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</si>
  <si>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</si>
  <si>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</si>
  <si>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</si>
  <si>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</si>
  <si>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</si>
  <si>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</si>
  <si>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</si>
  <si>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</si>
  <si>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</si>
  <si>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</si>
  <si>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</si>
  <si>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</si>
  <si>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</si>
  <si>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</si>
  <si>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</si>
  <si>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</si>
  <si>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</si>
  <si>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</si>
  <si>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</si>
  <si>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</si>
  <si>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</si>
  <si>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</si>
  <si>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</si>
  <si>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</si>
  <si>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</si>
  <si>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</si>
  <si>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</si>
  <si>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</si>
  <si>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</si>
  <si>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</si>
  <si>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</si>
  <si>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</si>
  <si>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</si>
  <si>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</si>
  <si>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</si>
  <si>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</si>
  <si>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</si>
  <si>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</si>
  <si>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</si>
  <si>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</si>
  <si>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</si>
  <si>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</si>
  <si>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</si>
  <si>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</si>
  <si>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</si>
  <si>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</si>
  <si>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</si>
  <si>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</si>
  <si>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</si>
  <si>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</si>
  <si>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</si>
  <si>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</si>
  <si>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</si>
  <si>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</si>
  <si>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</si>
  <si>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</si>
  <si>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</si>
  <si>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</si>
  <si>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</si>
  <si>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</si>
  <si>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</si>
  <si>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</si>
  <si>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</si>
  <si>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</si>
  <si>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</si>
  <si>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</si>
  <si>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</si>
  <si>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</si>
  <si>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</si>
  <si>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</si>
  <si>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</si>
  <si>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</si>
  <si>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</si>
  <si>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</si>
  <si>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</si>
  <si>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</si>
  <si>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</si>
  <si>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</si>
  <si>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</si>
  <si>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</si>
  <si>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</si>
  <si>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</si>
  <si>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</si>
  <si>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</si>
  <si>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</si>
  <si>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</si>
  <si>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</si>
  <si>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</si>
  <si>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</si>
  <si>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</si>
  <si>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</si>
  <si>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</si>
  <si>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</si>
  <si>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</si>
  <si>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</si>
  <si>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</si>
  <si>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</si>
  <si>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</si>
  <si>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</si>
  <si>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</si>
  <si>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</si>
  <si>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</si>
  <si>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</si>
  <si>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</si>
  <si>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</si>
  <si>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</si>
  <si>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</si>
  <si>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</si>
  <si>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</si>
  <si>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</si>
  <si>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</si>
  <si>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</si>
  <si>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</si>
  <si>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</si>
  <si>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</si>
  <si>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</si>
  <si>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</si>
  <si>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</si>
  <si>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</si>
  <si>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</si>
  <si>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</si>
  <si>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</si>
  <si>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</si>
  <si>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</si>
  <si>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</si>
  <si>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</si>
  <si>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</si>
  <si>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</si>
  <si>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</si>
  <si>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</si>
  <si>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</si>
  <si>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</si>
  <si>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</si>
  <si>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</si>
  <si>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</si>
  <si>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</si>
  <si>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</si>
  <si>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</si>
  <si>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</si>
  <si>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</si>
  <si>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</si>
  <si>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</si>
  <si>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</si>
  <si>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</si>
  <si>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</si>
  <si>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</si>
  <si>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</si>
  <si>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</si>
  <si>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</si>
  <si>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</si>
  <si>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</si>
  <si>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</si>
  <si>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</si>
  <si>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</si>
  <si>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</si>
  <si>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</si>
  <si>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</si>
  <si>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</si>
  <si>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</si>
  <si>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</si>
  <si>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</si>
  <si>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</si>
  <si>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</si>
  <si>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</si>
  <si>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</si>
  <si>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</si>
  <si>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</si>
  <si>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</si>
  <si>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</si>
  <si>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</si>
  <si>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</si>
  <si>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</si>
  <si>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</si>
  <si>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</si>
  <si>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</si>
  <si>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</si>
  <si>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</si>
  <si>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</si>
  <si>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</si>
  <si>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</si>
  <si>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</si>
  <si>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</si>
  <si>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</si>
  <si>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</si>
  <si>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</si>
  <si>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</si>
  <si>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</si>
  <si>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</si>
  <si>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</si>
  <si>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</si>
  <si>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</si>
  <si>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</si>
  <si>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</si>
  <si>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</si>
  <si>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</si>
  <si>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</si>
  <si>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</si>
  <si>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</si>
  <si>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</si>
  <si>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</si>
  <si>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</si>
  <si>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</si>
  <si>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</si>
  <si>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</si>
  <si>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</si>
  <si>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</si>
  <si>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</si>
  <si>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</si>
  <si>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</si>
  <si>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</si>
  <si>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</si>
  <si>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</si>
  <si>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</si>
  <si>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</si>
  <si>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</si>
  <si>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</si>
  <si>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</si>
  <si>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</si>
  <si>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</si>
  <si>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</si>
  <si>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</si>
  <si>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</si>
  <si>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</si>
  <si>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</si>
  <si>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</si>
  <si>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</si>
  <si>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</si>
  <si>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</si>
  <si>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</si>
  <si>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</si>
  <si>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</si>
  <si>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</si>
  <si>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</si>
  <si>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</si>
  <si>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</si>
  <si>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</si>
  <si>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</si>
  <si>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</si>
  <si>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</si>
  <si>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</si>
  <si>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</si>
  <si>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</si>
  <si>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</si>
  <si>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</si>
  <si>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</si>
  <si>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</si>
  <si>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</si>
  <si>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</si>
  <si>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</si>
  <si>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</si>
  <si>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</si>
  <si>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</si>
  <si>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</si>
  <si>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</si>
  <si>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</si>
  <si>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</si>
  <si>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</si>
  <si>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</si>
  <si>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</si>
  <si>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</si>
  <si>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</si>
  <si>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</si>
  <si>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</si>
  <si>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</si>
  <si>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</si>
  <si>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</si>
  <si>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</si>
  <si>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</si>
  <si>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</si>
  <si>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</si>
  <si>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</si>
  <si>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</si>
  <si>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</si>
  <si>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</si>
  <si>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</si>
  <si>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</si>
  <si>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</si>
  <si>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</si>
  <si>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</si>
  <si>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</si>
  <si>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</si>
  <si>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</si>
  <si>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</si>
  <si>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</si>
  <si>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</si>
  <si>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</si>
  <si>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</si>
  <si>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</si>
  <si>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</si>
  <si>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</si>
  <si>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</si>
  <si>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</si>
  <si>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</si>
  <si>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</si>
  <si>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</si>
  <si>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</si>
  <si>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</si>
  <si>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</si>
  <si>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</si>
  <si>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</si>
  <si>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</si>
  <si>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</si>
  <si>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</si>
  <si>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</si>
  <si>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</si>
  <si>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</si>
  <si>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</si>
  <si>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</si>
  <si>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</si>
  <si>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</si>
  <si>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</si>
  <si>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</si>
  <si>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</si>
  <si>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</si>
  <si>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</si>
  <si>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</si>
  <si>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</si>
  <si>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</si>
  <si>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</si>
  <si>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</si>
  <si>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</si>
  <si>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</si>
  <si>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</si>
  <si>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</si>
  <si>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</si>
  <si>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</si>
  <si>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</si>
  <si>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</si>
  <si>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</si>
  <si>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</si>
  <si>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</si>
  <si>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</si>
  <si>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</si>
  <si>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</si>
  <si>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</si>
  <si>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</si>
  <si>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</si>
  <si>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</si>
  <si>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</si>
  <si>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</si>
  <si>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</si>
  <si>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</si>
  <si>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</si>
  <si>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</si>
  <si>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</si>
  <si>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</si>
  <si>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</si>
  <si>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</si>
  <si>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</si>
  <si>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</si>
  <si>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</si>
  <si>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</si>
  <si>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</si>
  <si>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</si>
  <si>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</si>
  <si>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</si>
  <si>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</si>
  <si>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</si>
  <si>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</si>
  <si>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</si>
  <si>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</si>
  <si>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</si>
  <si>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</si>
  <si>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</si>
  <si>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</si>
  <si>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</si>
  <si>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</si>
  <si>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</si>
  <si>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</si>
  <si>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</si>
  <si>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</si>
  <si>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</si>
  <si>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</si>
  <si>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</si>
  <si>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</si>
  <si>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</si>
  <si>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</si>
  <si>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</si>
  <si>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</si>
  <si>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</si>
  <si>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</si>
  <si>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</si>
  <si>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</si>
  <si>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</si>
  <si>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</si>
  <si>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</si>
  <si>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</si>
  <si>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</si>
  <si>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</si>
  <si>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</si>
  <si>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</si>
  <si>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</si>
  <si>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</si>
  <si>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</si>
  <si>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</si>
  <si>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</si>
  <si>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</si>
  <si>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</si>
  <si>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</si>
  <si>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</si>
  <si>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</si>
  <si>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</si>
  <si>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</si>
  <si>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</si>
  <si>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</si>
  <si>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</si>
  <si>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</si>
  <si>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</si>
  <si>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</si>
  <si>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</si>
  <si>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</si>
  <si>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</si>
  <si>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</si>
  <si>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</si>
  <si>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</si>
  <si>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</si>
  <si>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</si>
  <si>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</si>
  <si>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</si>
  <si>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</si>
  <si>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</si>
  <si>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</si>
  <si>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</si>
  <si>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</si>
  <si>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</si>
  <si>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</si>
  <si>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</si>
  <si>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</si>
  <si>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</si>
  <si>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</si>
  <si>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</si>
  <si>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</si>
  <si>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</si>
  <si>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</si>
  <si>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</si>
  <si>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</si>
  <si>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</si>
  <si>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</si>
  <si>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</si>
  <si>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</si>
  <si>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</si>
  <si>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</si>
  <si>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</si>
  <si>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</si>
  <si>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</si>
  <si>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</si>
  <si>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</si>
  <si>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</si>
  <si>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</si>
  <si>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</si>
  <si>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</si>
  <si>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</si>
  <si>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</si>
  <si>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</si>
  <si>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</si>
  <si>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</si>
  <si>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</si>
  <si>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</si>
  <si>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</si>
  <si>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</si>
  <si>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</si>
  <si>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</si>
  <si>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</si>
  <si>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</si>
  <si>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</si>
  <si>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</si>
  <si>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</si>
  <si>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</si>
  <si>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</si>
  <si>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</si>
  <si>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</si>
  <si>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</si>
  <si>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</si>
  <si>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</si>
  <si>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</si>
  <si>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</si>
  <si>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</si>
  <si>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</si>
  <si>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</si>
  <si>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</si>
  <si>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</si>
  <si>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</si>
  <si>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</si>
  <si>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</si>
  <si>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</si>
  <si>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</si>
  <si>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</si>
  <si>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</si>
  <si>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</si>
  <si>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</si>
  <si>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</si>
  <si>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</si>
  <si>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</si>
  <si>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</si>
  <si>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</si>
  <si>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</si>
  <si>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</si>
  <si>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</si>
  <si>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</si>
  <si>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</si>
  <si>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</si>
  <si>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</si>
  <si>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</si>
  <si>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地上</t>
  </si>
  <si>
    <t>住宅</t>
  </si>
  <si>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</si>
  <si>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</si>
  <si>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</si>
  <si>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</si>
  <si>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</si>
  <si>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</si>
  <si>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</si>
  <si>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</si>
  <si>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</si>
  <si>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</si>
  <si>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</si>
  <si>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</si>
  <si>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</si>
  <si>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</si>
  <si>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</si>
  <si>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</si>
  <si>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</si>
  <si>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</si>
  <si>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</si>
  <si>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面积（平方米）</t>
    <phoneticPr fontId="134" type="noConversion"/>
  </si>
  <si>
    <t>朝向</t>
    <phoneticPr fontId="134" type="noConversion"/>
  </si>
  <si>
    <t>南北</t>
    <phoneticPr fontId="134" type="noConversion"/>
  </si>
  <si>
    <t>南</t>
  </si>
  <si>
    <t>南</t>
    <phoneticPr fontId="134" type="noConversion"/>
  </si>
  <si>
    <t>中楼层/16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</si>
  <si>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</si>
  <si>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</si>
  <si>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</si>
  <si>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</si>
  <si>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</si>
  <si>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</si>
  <si>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</si>
  <si>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</si>
  <si>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</si>
  <si>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</si>
  <si>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</si>
  <si>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</si>
  <si>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</si>
  <si>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</si>
  <si>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</si>
  <si>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</si>
  <si>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</si>
  <si>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</si>
  <si>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</si>
  <si>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</si>
  <si>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</si>
  <si>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</si>
  <si>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</si>
  <si>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</si>
  <si>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</si>
  <si>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</si>
  <si>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</si>
  <si>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</si>
  <si>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</si>
  <si>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</si>
  <si>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</si>
  <si>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</si>
  <si>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</si>
  <si>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</si>
  <si>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</si>
  <si>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</si>
  <si>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</si>
  <si>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</si>
  <si>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</si>
  <si>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</si>
  <si>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</si>
  <si>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</si>
  <si>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</si>
  <si>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</si>
  <si>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</si>
  <si>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</si>
  <si>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</si>
  <si>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</si>
  <si>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</si>
  <si>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</si>
  <si>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</si>
  <si>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</si>
  <si>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</si>
  <si>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</si>
  <si>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</si>
  <si>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</si>
  <si>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</si>
  <si>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</si>
  <si>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</si>
  <si>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</si>
  <si>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生活设施、家具电器配备齐全</t>
    <phoneticPr fontId="134" type="noConversion"/>
  </si>
  <si>
    <t>生活设施、家具配备齐全</t>
    <phoneticPr fontId="134" type="noConversion"/>
  </si>
  <si>
    <t>月租金+管理费（元/套/月）</t>
    <phoneticPr fontId="134" type="noConversion"/>
  </si>
  <si>
    <t>土地</t>
    <phoneticPr fontId="6" type="noConversion"/>
  </si>
  <si>
    <t>建筑物</t>
    <phoneticPr fontId="6" type="noConversion"/>
  </si>
  <si>
    <t>建成时间</t>
    <phoneticPr fontId="6" type="noConversion"/>
  </si>
  <si>
    <t>1986</t>
    <phoneticPr fontId="6" type="noConversion"/>
  </si>
  <si>
    <t>建设期</t>
    <phoneticPr fontId="6" type="noConversion"/>
  </si>
  <si>
    <t>室内设备设施</t>
    <phoneticPr fontId="134" type="noConversion"/>
  </si>
  <si>
    <t>咨询对象</t>
  </si>
  <si>
    <t>建筑面积（㎡）</t>
  </si>
  <si>
    <t>场地面积（㎡）</t>
  </si>
  <si>
    <t>所在楼层</t>
  </si>
  <si>
    <t>建筑结构</t>
  </si>
  <si>
    <t>建成年代</t>
  </si>
  <si>
    <t>设定用途</t>
  </si>
  <si>
    <t>生活服务广场</t>
  </si>
  <si>
    <t>超市</t>
  </si>
  <si>
    <t>美食广场</t>
  </si>
  <si>
    <t>北侧便民小商铺</t>
  </si>
  <si>
    <r>
      <t>东</t>
    </r>
    <r>
      <rPr>
        <sz val="10"/>
        <color rgb="FF000000"/>
        <rFont val="Arial"/>
        <family val="2"/>
      </rPr>
      <t>1</t>
    </r>
  </si>
  <si>
    <r>
      <t>东</t>
    </r>
    <r>
      <rPr>
        <sz val="10"/>
        <color rgb="FF000000"/>
        <rFont val="Arial"/>
        <family val="2"/>
      </rPr>
      <t>2</t>
    </r>
  </si>
  <si>
    <r>
      <t>西</t>
    </r>
    <r>
      <rPr>
        <sz val="10"/>
        <color rgb="FF000000"/>
        <rFont val="Arial"/>
        <family val="2"/>
      </rPr>
      <t>1</t>
    </r>
  </si>
  <si>
    <r>
      <t>西</t>
    </r>
    <r>
      <rPr>
        <sz val="10"/>
        <color rgb="FF000000"/>
        <rFont val="Arial"/>
        <family val="2"/>
      </rPr>
      <t>2</t>
    </r>
  </si>
  <si>
    <r>
      <t>西</t>
    </r>
    <r>
      <rPr>
        <sz val="10"/>
        <color rgb="FF000000"/>
        <rFont val="Arial"/>
        <family val="2"/>
      </rPr>
      <t>3</t>
    </r>
  </si>
  <si>
    <r>
      <t>西</t>
    </r>
    <r>
      <rPr>
        <sz val="10"/>
        <color rgb="FF000000"/>
        <rFont val="Arial"/>
        <family val="2"/>
      </rPr>
      <t>4</t>
    </r>
  </si>
  <si>
    <r>
      <t>西</t>
    </r>
    <r>
      <rPr>
        <sz val="10"/>
        <color rgb="FF000000"/>
        <rFont val="Arial"/>
        <family val="2"/>
      </rPr>
      <t>5</t>
    </r>
  </si>
  <si>
    <r>
      <t>西</t>
    </r>
    <r>
      <rPr>
        <sz val="10"/>
        <color rgb="FF000000"/>
        <rFont val="Arial"/>
        <family val="2"/>
      </rPr>
      <t>6</t>
    </r>
  </si>
  <si>
    <r>
      <t>西</t>
    </r>
    <r>
      <rPr>
        <sz val="10"/>
        <color rgb="FF000000"/>
        <rFont val="Arial"/>
        <family val="2"/>
      </rPr>
      <t>7</t>
    </r>
  </si>
  <si>
    <r>
      <t>西</t>
    </r>
    <r>
      <rPr>
        <sz val="10"/>
        <color rgb="FF000000"/>
        <rFont val="Arial"/>
        <family val="2"/>
      </rPr>
      <t>8</t>
    </r>
  </si>
  <si>
    <r>
      <t>西</t>
    </r>
    <r>
      <rPr>
        <sz val="10"/>
        <color rgb="FF000000"/>
        <rFont val="Arial"/>
        <family val="2"/>
      </rPr>
      <t>9</t>
    </r>
  </si>
  <si>
    <t>综合服务楼</t>
  </si>
  <si>
    <r>
      <t>东</t>
    </r>
    <r>
      <rPr>
        <sz val="10"/>
        <color rgb="FF000000"/>
        <rFont val="Arial"/>
        <family val="2"/>
      </rPr>
      <t>3</t>
    </r>
  </si>
  <si>
    <r>
      <t>东</t>
    </r>
    <r>
      <rPr>
        <sz val="10"/>
        <color rgb="FF000000"/>
        <rFont val="Arial"/>
        <family val="2"/>
      </rPr>
      <t>4</t>
    </r>
  </si>
  <si>
    <r>
      <t>东</t>
    </r>
    <r>
      <rPr>
        <sz val="10"/>
        <color rgb="FF000000"/>
        <rFont val="Arial"/>
        <family val="2"/>
      </rPr>
      <t>5</t>
    </r>
  </si>
  <si>
    <r>
      <t>东</t>
    </r>
    <r>
      <rPr>
        <sz val="10"/>
        <color rgb="FF000000"/>
        <rFont val="Arial"/>
        <family val="2"/>
      </rPr>
      <t>6</t>
    </r>
  </si>
  <si>
    <t>走廊</t>
  </si>
  <si>
    <r>
      <t>东</t>
    </r>
    <r>
      <rPr>
        <sz val="10"/>
        <color rgb="FF000000"/>
        <rFont val="Arial"/>
        <family val="2"/>
      </rPr>
      <t>7</t>
    </r>
  </si>
  <si>
    <r>
      <t>东</t>
    </r>
    <r>
      <rPr>
        <sz val="10"/>
        <color rgb="FF000000"/>
        <rFont val="Arial"/>
        <family val="2"/>
      </rPr>
      <t>8</t>
    </r>
  </si>
  <si>
    <r>
      <t>东</t>
    </r>
    <r>
      <rPr>
        <sz val="10"/>
        <color rgb="FF000000"/>
        <rFont val="Arial"/>
        <family val="2"/>
      </rPr>
      <t>9</t>
    </r>
  </si>
  <si>
    <r>
      <t>东</t>
    </r>
    <r>
      <rPr>
        <sz val="10"/>
        <color rgb="FF000000"/>
        <rFont val="Arial"/>
        <family val="2"/>
      </rPr>
      <t>10</t>
    </r>
  </si>
  <si>
    <r>
      <t>东</t>
    </r>
    <r>
      <rPr>
        <sz val="10"/>
        <color rgb="FF000000"/>
        <rFont val="Arial"/>
        <family val="2"/>
      </rPr>
      <t>11</t>
    </r>
  </si>
  <si>
    <r>
      <t>东</t>
    </r>
    <r>
      <rPr>
        <sz val="10"/>
        <color rgb="FF000000"/>
        <rFont val="Arial"/>
        <family val="2"/>
      </rPr>
      <t xml:space="preserve">12 </t>
    </r>
  </si>
  <si>
    <t>家属食堂</t>
  </si>
  <si>
    <t>邮局</t>
  </si>
  <si>
    <t>洗衣房</t>
  </si>
  <si>
    <t>洗车房</t>
  </si>
  <si>
    <t>水站用房</t>
  </si>
  <si>
    <t>豆腐房</t>
  </si>
  <si>
    <t>中区蓄水池</t>
  </si>
  <si>
    <t>原空装招待所一层大厅</t>
  </si>
  <si>
    <t>体能训练室</t>
  </si>
  <si>
    <t>B1</t>
  </si>
  <si>
    <t>智能快递柜</t>
  </si>
  <si>
    <r>
      <t>4.5*2</t>
    </r>
    <r>
      <rPr>
        <sz val="10"/>
        <color rgb="FF000000"/>
        <rFont val="宋体"/>
        <family val="3"/>
        <charset val="134"/>
      </rPr>
      <t>个</t>
    </r>
  </si>
  <si>
    <r>
      <t>3*4</t>
    </r>
    <r>
      <rPr>
        <sz val="10"/>
        <color rgb="FF000000"/>
        <rFont val="宋体"/>
        <family val="3"/>
        <charset val="134"/>
      </rPr>
      <t>个</t>
    </r>
  </si>
  <si>
    <t>自动售货机</t>
  </si>
  <si>
    <r>
      <t>5*4</t>
    </r>
    <r>
      <rPr>
        <sz val="10"/>
        <color rgb="FF000000"/>
        <rFont val="宋体"/>
        <family val="3"/>
        <charset val="134"/>
      </rPr>
      <t>个</t>
    </r>
  </si>
  <si>
    <t>合计</t>
  </si>
  <si>
    <t>商业位置</t>
    <phoneticPr fontId="134" type="noConversion"/>
  </si>
  <si>
    <t>企业</t>
  </si>
  <si>
    <t>租金</t>
  </si>
  <si>
    <t>复兴路14号院</t>
    <phoneticPr fontId="3" type="noConversion"/>
  </si>
  <si>
    <t>瑞海国际中心商铺</t>
    <phoneticPr fontId="3" type="noConversion"/>
  </si>
  <si>
    <t>北京市海淀区莲花池东路53号</t>
    <phoneticPr fontId="3" type="noConversion"/>
  </si>
  <si>
    <t>估价对象</t>
    <phoneticPr fontId="3" type="noConversion"/>
  </si>
  <si>
    <t>复兴路40号院</t>
    <phoneticPr fontId="3" type="noConversion"/>
  </si>
  <si>
    <t>商业</t>
    <phoneticPr fontId="30" type="noConversion"/>
  </si>
  <si>
    <t>复兴路甲38号</t>
    <phoneticPr fontId="3" type="noConversion"/>
  </si>
  <si>
    <t>嘉德公寓</t>
    <phoneticPr fontId="3" type="noConversion"/>
  </si>
  <si>
    <t>高速路</t>
  </si>
  <si>
    <t>快速路</t>
  </si>
  <si>
    <t>城市主干道</t>
  </si>
  <si>
    <t>城市次干道</t>
  </si>
  <si>
    <t>城市支路</t>
  </si>
  <si>
    <t>不临路</t>
  </si>
  <si>
    <t>较好</t>
    <phoneticPr fontId="30" type="noConversion"/>
  </si>
  <si>
    <t>好</t>
    <phoneticPr fontId="30" type="noConversion"/>
  </si>
  <si>
    <t>一般</t>
    <phoneticPr fontId="30" type="noConversion"/>
  </si>
  <si>
    <t>较差</t>
    <phoneticPr fontId="30" type="noConversion"/>
  </si>
  <si>
    <t>差</t>
    <phoneticPr fontId="30" type="noConversion"/>
  </si>
  <si>
    <t>密集</t>
    <phoneticPr fontId="30" type="noConversion"/>
  </si>
  <si>
    <t>较密集</t>
  </si>
  <si>
    <t>较密集</t>
    <phoneticPr fontId="30" type="noConversion"/>
  </si>
  <si>
    <t>较稀疏</t>
    <phoneticPr fontId="30" type="noConversion"/>
  </si>
  <si>
    <t>稀疏</t>
    <phoneticPr fontId="30" type="noConversion"/>
  </si>
  <si>
    <t>临街商业</t>
  </si>
  <si>
    <t>商业综合体</t>
  </si>
  <si>
    <t>写字楼配套商业</t>
  </si>
  <si>
    <t>住宅配套商业</t>
  </si>
  <si>
    <t>全业态</t>
  </si>
  <si>
    <t>不可餐饮</t>
  </si>
  <si>
    <t>超高层高</t>
  </si>
  <si>
    <t>标准层高</t>
  </si>
  <si>
    <r>
      <t>1</t>
    </r>
    <r>
      <rPr>
        <sz val="11"/>
        <color indexed="8"/>
        <rFont val="宋体"/>
        <family val="3"/>
        <charset val="134"/>
      </rPr>
      <t>层</t>
    </r>
    <phoneticPr fontId="30" type="noConversion"/>
  </si>
  <si>
    <t>1层</t>
  </si>
  <si>
    <t>修正系数</t>
    <phoneticPr fontId="134" type="noConversion"/>
  </si>
  <si>
    <t>服务对象</t>
    <phoneticPr fontId="134" type="noConversion"/>
  </si>
  <si>
    <t>不对外开放</t>
    <phoneticPr fontId="134" type="noConversion"/>
  </si>
  <si>
    <t>建筑面积</t>
    <phoneticPr fontId="134" type="noConversion"/>
  </si>
  <si>
    <t>系数</t>
    <phoneticPr fontId="134" type="noConversion"/>
  </si>
  <si>
    <t>建成年份</t>
    <phoneticPr fontId="134" type="noConversion"/>
  </si>
  <si>
    <t>外铺</t>
    <phoneticPr fontId="134" type="noConversion"/>
  </si>
  <si>
    <t>内铺</t>
    <phoneticPr fontId="134" type="noConversion"/>
  </si>
  <si>
    <t>外铺(临西三环)</t>
    <phoneticPr fontId="134" type="noConversion"/>
  </si>
  <si>
    <t>外铺(临外路）</t>
    <phoneticPr fontId="134" type="noConversion"/>
  </si>
  <si>
    <t>平均租金</t>
    <phoneticPr fontId="134" type="noConversion"/>
  </si>
  <si>
    <t>房屋租金合计（元/天）</t>
    <phoneticPr fontId="134" type="noConversion"/>
  </si>
  <si>
    <t>房屋租金水平（元/平方米/天）</t>
    <phoneticPr fontId="134" type="noConversion"/>
  </si>
  <si>
    <t>土地租金水平（元/平方米/天）</t>
    <phoneticPr fontId="134" type="noConversion"/>
  </si>
  <si>
    <t>土地租金合计（元/天）</t>
    <phoneticPr fontId="134" type="noConversion"/>
  </si>
  <si>
    <t>智能快递柜用地</t>
    <phoneticPr fontId="30" type="noConversion"/>
  </si>
  <si>
    <t>商业</t>
    <phoneticPr fontId="30" type="noConversion"/>
  </si>
  <si>
    <t>40</t>
    <phoneticPr fontId="30" type="noConversion"/>
  </si>
  <si>
    <t>不临街</t>
  </si>
  <si>
    <t>较规则</t>
  </si>
  <si>
    <t>较规则</t>
    <phoneticPr fontId="30" type="noConversion"/>
  </si>
  <si>
    <t>自动售水机</t>
    <phoneticPr fontId="134" type="noConversion"/>
  </si>
  <si>
    <t>商业三级-6</t>
    <phoneticPr fontId="134" type="noConversion"/>
  </si>
  <si>
    <t>公服三级-6</t>
    <phoneticPr fontId="134" type="noConversion"/>
  </si>
  <si>
    <t>房</t>
    <phoneticPr fontId="134" type="noConversion"/>
  </si>
  <si>
    <t>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</si>
</sst>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11"/>
      <color rgb="FF000000"/>
      <name val="宋体"/>
      <family val="3"/>
      <charset val="134"/>
    </font>
    <font>
      <sz val="10"/>
      <color rgb="FF000000"/>
      <name val="黑体"/>
      <family val="3"/>
      <charset val="134"/>
    </font>
    <font>
      <b/>
      <sz val="10"/>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44" xfId="0" applyFont="1" applyBorder="1" applyAlignment="1" applyProtection="1">
      <alignment horizontal="center" vertical="center" wrapText="1"/>
      <protection locked="0"/>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107" fillId="0" borderId="1" xfId="0" applyFont="1" applyBorder="1" applyAlignment="1">
      <alignment horizontal="center" vertical="center" wrapText="1"/>
    </xf>
    <xf numFmtId="49" fontId="77" fillId="6" borderId="15" xfId="0" applyNumberFormat="1" applyFont="1" applyFill="1" applyBorder="1" applyAlignment="1" applyProtection="1">
      <alignment horizontal="center" vertical="center" wrapText="1"/>
      <protection locked="0"/>
    </xf>
    <xf numFmtId="177" fontId="77" fillId="6" borderId="15"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177" fontId="47" fillId="6" borderId="0" xfId="0" applyNumberFormat="1" applyFont="1" applyFill="1" applyAlignment="1" applyProtection="1">
      <alignment horizontal="center" vertical="center" wrapText="1"/>
      <protection locked="0"/>
    </xf>
    <xf numFmtId="0" fontId="283"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107" fillId="0" borderId="0" xfId="0" applyFont="1" applyAlignment="1">
      <alignment horizontal="center" vertical="center" wrapText="1"/>
    </xf>
    <xf numFmtId="0" fontId="270" fillId="0" borderId="1" xfId="0" applyFont="1" applyBorder="1" applyAlignment="1">
      <alignment horizontal="center" vertical="center" wrapText="1"/>
    </xf>
    <xf numFmtId="0" fontId="139" fillId="0" borderId="1" xfId="0" applyFont="1" applyBorder="1" applyAlignment="1">
      <alignment horizontal="center" vertical="center" wrapText="1"/>
    </xf>
    <xf numFmtId="0" fontId="138" fillId="0" borderId="1" xfId="0" applyFont="1" applyBorder="1" applyAlignment="1">
      <alignment horizontal="center" vertical="center" wrapText="1"/>
    </xf>
    <xf numFmtId="0" fontId="284" fillId="0" borderId="1" xfId="0" applyFont="1" applyBorder="1" applyAlignment="1">
      <alignment horizontal="center" vertical="center" wrapText="1"/>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63" fillId="26" borderId="1" xfId="0" applyFont="1" applyFill="1" applyBorder="1" applyAlignment="1">
      <alignment horizontal="center" vertical="center" wrapText="1"/>
    </xf>
    <xf numFmtId="0" fontId="164" fillId="26" borderId="1" xfId="0" applyFont="1" applyFill="1" applyBorder="1" applyAlignment="1">
      <alignment horizontal="center" vertical="center" wrapText="1"/>
    </xf>
    <xf numFmtId="0" fontId="139" fillId="26" borderId="1"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270" fillId="26" borderId="1" xfId="0" applyFont="1" applyFill="1" applyBorder="1" applyAlignment="1">
      <alignment horizontal="center" vertical="center" wrapText="1"/>
    </xf>
    <xf numFmtId="0" fontId="284" fillId="26" borderId="1" xfId="0" applyFont="1" applyFill="1" applyBorder="1" applyAlignment="1">
      <alignment horizontal="center" vertical="center" wrapText="1"/>
    </xf>
    <xf numFmtId="0" fontId="107" fillId="7" borderId="1" xfId="0" applyFont="1" applyFill="1" applyBorder="1" applyAlignment="1">
      <alignment horizontal="center" vertical="center" wrapText="1"/>
    </xf>
    <xf numFmtId="0" fontId="107" fillId="7" borderId="0" xfId="0" applyFont="1" applyFill="1" applyAlignment="1">
      <alignment horizontal="center" vertical="center" wrapText="1"/>
    </xf>
    <xf numFmtId="0" fontId="44" fillId="0" borderId="0" xfId="0" applyFont="1" applyBorder="1" applyAlignment="1" applyProtection="1">
      <alignment horizontal="center" vertical="center" wrapText="1"/>
      <protection locked="0"/>
    </xf>
    <xf numFmtId="0" fontId="99" fillId="0" borderId="0" xfId="0" applyFont="1" applyBorder="1" applyAlignment="1" applyProtection="1">
      <alignment horizontal="center" vertical="center" wrapText="1"/>
      <protection locked="0"/>
    </xf>
    <xf numFmtId="0" fontId="99" fillId="0" borderId="0" xfId="0" applyFont="1" applyBorder="1" applyAlignment="1" applyProtection="1">
      <alignment horizontal="left" vertical="center" wrapText="1"/>
      <protection locked="0"/>
    </xf>
    <xf numFmtId="0" fontId="51" fillId="0" borderId="0" xfId="0" applyFont="1" applyBorder="1" applyAlignment="1" applyProtection="1">
      <alignment horizontal="center" vertical="center" wrapText="1"/>
      <protection locked="0"/>
    </xf>
    <xf numFmtId="0" fontId="284" fillId="15" borderId="0" xfId="0" applyFont="1" applyFill="1" applyAlignment="1">
      <alignment horizontal="center" vertical="center" wrapText="1"/>
    </xf>
    <xf numFmtId="0" fontId="107" fillId="25" borderId="1" xfId="0"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84" fillId="25" borderId="1"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83"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07" fillId="0" borderId="1" xfId="0" applyFont="1" applyBorder="1" applyAlignment="1">
      <alignment horizontal="center" vertical="center" wrapText="1"/>
    </xf>
    <xf numFmtId="0" fontId="164" fillId="26" borderId="13" xfId="0" applyFont="1" applyFill="1" applyBorder="1" applyAlignment="1">
      <alignment horizontal="center" vertical="center" wrapText="1"/>
    </xf>
    <xf numFmtId="0" fontId="164" fillId="26" borderId="2" xfId="0" applyFont="1" applyFill="1" applyBorder="1" applyAlignment="1">
      <alignment horizontal="center" vertical="center" wrapText="1"/>
    </xf>
    <xf numFmtId="0" fontId="138" fillId="0" borderId="1" xfId="0" applyFont="1" applyBorder="1" applyAlignment="1">
      <alignment horizontal="center" vertical="center" wrapText="1"/>
    </xf>
    <xf numFmtId="0" fontId="107" fillId="25" borderId="13" xfId="0" applyFont="1" applyFill="1" applyBorder="1" applyAlignment="1">
      <alignment horizontal="center" vertical="center" wrapText="1"/>
    </xf>
    <xf numFmtId="0" fontId="107" fillId="25" borderId="2"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107" fillId="26" borderId="13" xfId="0" applyFont="1" applyFill="1" applyBorder="1" applyAlignment="1">
      <alignment horizontal="center" vertical="center" wrapText="1"/>
    </xf>
    <xf numFmtId="0" fontId="107" fillId="26" borderId="15" xfId="0" applyFont="1" applyFill="1" applyBorder="1" applyAlignment="1">
      <alignment horizontal="center" vertical="center" wrapText="1"/>
    </xf>
    <xf numFmtId="0" fontId="107" fillId="26" borderId="2" xfId="0" applyFont="1" applyFill="1" applyBorder="1" applyAlignment="1">
      <alignment horizontal="center" vertical="center" wrapText="1"/>
    </xf>
    <xf numFmtId="0" fontId="107" fillId="7" borderId="13" xfId="0" applyFont="1" applyFill="1" applyBorder="1" applyAlignment="1">
      <alignment horizontal="center" vertical="center" wrapText="1"/>
    </xf>
    <xf numFmtId="0" fontId="107" fillId="7" borderId="15" xfId="0" applyFont="1" applyFill="1" applyBorder="1" applyAlignment="1">
      <alignment horizontal="center" vertical="center" wrapText="1"/>
    </xf>
    <xf numFmtId="0" fontId="107" fillId="7" borderId="2" xfId="0" applyFont="1" applyFill="1" applyBorder="1" applyAlignment="1">
      <alignment horizontal="center" vertical="center" wrapText="1"/>
    </xf>
    <xf numFmtId="0" fontId="107" fillId="25" borderId="1" xfId="0" applyFont="1" applyFill="1" applyBorder="1" applyAlignment="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38" xfId="0" applyFont="1" applyFill="1" applyBorder="1" applyAlignment="1" applyProtection="1">
      <alignment horizontal="center" vertical="center" wrapText="1"/>
      <protection locked="0"/>
    </xf>
    <xf numFmtId="0" fontId="166" fillId="0" borderId="68"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81" fillId="0" borderId="1" xfId="10" applyFont="1" applyBorder="1" applyAlignment="1">
      <alignment horizontal="center" vertical="center" wrapText="1"/>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256" fillId="0" borderId="0" xfId="10" applyFont="1" applyAlignment="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116205</xdr:colOff>
      <xdr:row>48</xdr:row>
      <xdr:rowOff>152400</xdr:rowOff>
    </xdr:from>
    <xdr:to>
      <xdr:col>13</xdr:col>
      <xdr:colOff>666750</xdr:colOff>
      <xdr:row>54</xdr:row>
      <xdr:rowOff>110671</xdr:rowOff>
    </xdr:to>
    <xdr:pic>
      <xdr:nvPicPr>
        <xdr:cNvPr id="2" name="图片 1">
          <a:extLst>
            <a:ext uri="{FF2B5EF4-FFF2-40B4-BE49-F238E27FC236}">
              <a16:creationId xmlns:a16="http://schemas.microsoft.com/office/drawing/2014/main" id="{1404EE53-14C3-4B9E-958B-AA0965CF08CD}"/>
            </a:ext>
          </a:extLst>
        </xdr:cNvPr>
        <xdr:cNvPicPr>
          <a:picLocks noChangeAspect="1"/>
        </xdr:cNvPicPr>
      </xdr:nvPicPr>
      <xdr:blipFill>
        <a:blip xmlns:r="http://schemas.openxmlformats.org/officeDocument/2006/relationships" r:embed="rId1"/>
        <a:stretch>
          <a:fillRect/>
        </a:stretch>
      </xdr:blipFill>
      <xdr:spPr>
        <a:xfrm>
          <a:off x="6164580" y="8401050"/>
          <a:ext cx="1236345" cy="1177471"/>
        </a:xfrm>
        <a:prstGeom prst="rect">
          <a:avLst/>
        </a:prstGeom>
      </xdr:spPr>
    </xdr:pic>
    <xdr:clientData/>
  </xdr:twoCellAnchor>
  <xdr:twoCellAnchor editAs="oneCell">
    <xdr:from>
      <xdr:col>14</xdr:col>
      <xdr:colOff>179705</xdr:colOff>
      <xdr:row>48</xdr:row>
      <xdr:rowOff>238124</xdr:rowOff>
    </xdr:from>
    <xdr:to>
      <xdr:col>16</xdr:col>
      <xdr:colOff>192066</xdr:colOff>
      <xdr:row>54</xdr:row>
      <xdr:rowOff>56895</xdr:rowOff>
    </xdr:to>
    <xdr:pic>
      <xdr:nvPicPr>
        <xdr:cNvPr id="3" name="图片 2">
          <a:extLst>
            <a:ext uri="{FF2B5EF4-FFF2-40B4-BE49-F238E27FC236}">
              <a16:creationId xmlns:a16="http://schemas.microsoft.com/office/drawing/2014/main" id="{3FD889A5-2D54-41C8-8FEB-FD0EBB96674D}"/>
            </a:ext>
          </a:extLst>
        </xdr:cNvPr>
        <xdr:cNvPicPr>
          <a:picLocks noChangeAspect="1"/>
        </xdr:cNvPicPr>
      </xdr:nvPicPr>
      <xdr:blipFill>
        <a:blip xmlns:r="http://schemas.openxmlformats.org/officeDocument/2006/relationships" r:embed="rId2"/>
        <a:stretch>
          <a:fillRect/>
        </a:stretch>
      </xdr:blipFill>
      <xdr:spPr>
        <a:xfrm>
          <a:off x="7599680" y="8486774"/>
          <a:ext cx="1383961" cy="1037971"/>
        </a:xfrm>
        <a:prstGeom prst="rect">
          <a:avLst/>
        </a:prstGeom>
      </xdr:spPr>
    </xdr:pic>
    <xdr:clientData/>
  </xdr:twoCellAnchor>
  <xdr:twoCellAnchor editAs="oneCell">
    <xdr:from>
      <xdr:col>0</xdr:col>
      <xdr:colOff>229143</xdr:colOff>
      <xdr:row>57</xdr:row>
      <xdr:rowOff>38100</xdr:rowOff>
    </xdr:from>
    <xdr:to>
      <xdr:col>4</xdr:col>
      <xdr:colOff>513667</xdr:colOff>
      <xdr:row>69</xdr:row>
      <xdr:rowOff>47082</xdr:rowOff>
    </xdr:to>
    <xdr:pic>
      <xdr:nvPicPr>
        <xdr:cNvPr id="4" name="图片 3">
          <a:extLst>
            <a:ext uri="{FF2B5EF4-FFF2-40B4-BE49-F238E27FC236}">
              <a16:creationId xmlns:a16="http://schemas.microsoft.com/office/drawing/2014/main" id="{902680FB-A4D5-4DEE-A964-FC9E2A06757A}"/>
            </a:ext>
          </a:extLst>
        </xdr:cNvPr>
        <xdr:cNvPicPr>
          <a:picLocks noChangeAspect="1"/>
        </xdr:cNvPicPr>
      </xdr:nvPicPr>
      <xdr:blipFill>
        <a:blip xmlns:r="http://schemas.openxmlformats.org/officeDocument/2006/relationships" r:embed="rId3"/>
        <a:stretch>
          <a:fillRect/>
        </a:stretch>
      </xdr:blipFill>
      <xdr:spPr>
        <a:xfrm>
          <a:off x="229143" y="9963150"/>
          <a:ext cx="2313349" cy="1837782"/>
        </a:xfrm>
        <a:prstGeom prst="rect">
          <a:avLst/>
        </a:prstGeom>
      </xdr:spPr>
    </xdr:pic>
    <xdr:clientData/>
  </xdr:twoCellAnchor>
  <xdr:twoCellAnchor editAs="oneCell">
    <xdr:from>
      <xdr:col>18</xdr:col>
      <xdr:colOff>264363</xdr:colOff>
      <xdr:row>48</xdr:row>
      <xdr:rowOff>190500</xdr:rowOff>
    </xdr:from>
    <xdr:to>
      <xdr:col>19</xdr:col>
      <xdr:colOff>856447</xdr:colOff>
      <xdr:row>54</xdr:row>
      <xdr:rowOff>133350</xdr:rowOff>
    </xdr:to>
    <xdr:pic>
      <xdr:nvPicPr>
        <xdr:cNvPr id="6" name="图片 5">
          <a:extLst>
            <a:ext uri="{FF2B5EF4-FFF2-40B4-BE49-F238E27FC236}">
              <a16:creationId xmlns:a16="http://schemas.microsoft.com/office/drawing/2014/main" id="{5B18292B-0947-4EBE-9C21-DAD67CCB9E03}"/>
            </a:ext>
          </a:extLst>
        </xdr:cNvPr>
        <xdr:cNvPicPr>
          <a:picLocks noChangeAspect="1"/>
        </xdr:cNvPicPr>
      </xdr:nvPicPr>
      <xdr:blipFill>
        <a:blip xmlns:r="http://schemas.openxmlformats.org/officeDocument/2006/relationships" r:embed="rId4"/>
        <a:stretch>
          <a:fillRect/>
        </a:stretch>
      </xdr:blipFill>
      <xdr:spPr>
        <a:xfrm>
          <a:off x="10722813" y="8439150"/>
          <a:ext cx="1392184" cy="1162050"/>
        </a:xfrm>
        <a:prstGeom prst="rect">
          <a:avLst/>
        </a:prstGeom>
      </xdr:spPr>
    </xdr:pic>
    <xdr:clientData/>
  </xdr:twoCellAnchor>
  <xdr:twoCellAnchor editAs="oneCell">
    <xdr:from>
      <xdr:col>16</xdr:col>
      <xdr:colOff>358459</xdr:colOff>
      <xdr:row>48</xdr:row>
      <xdr:rowOff>190499</xdr:rowOff>
    </xdr:from>
    <xdr:to>
      <xdr:col>18</xdr:col>
      <xdr:colOff>85108</xdr:colOff>
      <xdr:row>55</xdr:row>
      <xdr:rowOff>37560</xdr:rowOff>
    </xdr:to>
    <xdr:pic>
      <xdr:nvPicPr>
        <xdr:cNvPr id="7" name="图片 6">
          <a:extLst>
            <a:ext uri="{FF2B5EF4-FFF2-40B4-BE49-F238E27FC236}">
              <a16:creationId xmlns:a16="http://schemas.microsoft.com/office/drawing/2014/main" id="{552489CA-BB16-40EB-B921-C4AF3AF91425}"/>
            </a:ext>
          </a:extLst>
        </xdr:cNvPr>
        <xdr:cNvPicPr>
          <a:picLocks noChangeAspect="1"/>
        </xdr:cNvPicPr>
      </xdr:nvPicPr>
      <xdr:blipFill>
        <a:blip xmlns:r="http://schemas.openxmlformats.org/officeDocument/2006/relationships" r:embed="rId5"/>
        <a:stretch>
          <a:fillRect/>
        </a:stretch>
      </xdr:blipFill>
      <xdr:spPr>
        <a:xfrm>
          <a:off x="9150034" y="8439149"/>
          <a:ext cx="1393524" cy="1218661"/>
        </a:xfrm>
        <a:prstGeom prst="rect">
          <a:avLst/>
        </a:prstGeom>
      </xdr:spPr>
    </xdr:pic>
    <xdr:clientData/>
  </xdr:twoCellAnchor>
  <xdr:twoCellAnchor editAs="oneCell">
    <xdr:from>
      <xdr:col>12</xdr:col>
      <xdr:colOff>138057</xdr:colOff>
      <xdr:row>56</xdr:row>
      <xdr:rowOff>47624</xdr:rowOff>
    </xdr:from>
    <xdr:to>
      <xdr:col>22</xdr:col>
      <xdr:colOff>284735</xdr:colOff>
      <xdr:row>71</xdr:row>
      <xdr:rowOff>85413</xdr:rowOff>
    </xdr:to>
    <xdr:pic>
      <xdr:nvPicPr>
        <xdr:cNvPr id="8" name="图片 7">
          <a:extLst>
            <a:ext uri="{FF2B5EF4-FFF2-40B4-BE49-F238E27FC236}">
              <a16:creationId xmlns:a16="http://schemas.microsoft.com/office/drawing/2014/main" id="{C4212D62-BA3A-421C-9D32-358DA5890DBA}"/>
            </a:ext>
          </a:extLst>
        </xdr:cNvPr>
        <xdr:cNvPicPr>
          <a:picLocks noChangeAspect="1"/>
        </xdr:cNvPicPr>
      </xdr:nvPicPr>
      <xdr:blipFill>
        <a:blip xmlns:r="http://schemas.openxmlformats.org/officeDocument/2006/relationships" r:embed="rId6"/>
        <a:stretch>
          <a:fillRect/>
        </a:stretch>
      </xdr:blipFill>
      <xdr:spPr>
        <a:xfrm>
          <a:off x="6186432" y="9820274"/>
          <a:ext cx="7585703" cy="2323789"/>
        </a:xfrm>
        <a:prstGeom prst="rect">
          <a:avLst/>
        </a:prstGeom>
      </xdr:spPr>
    </xdr:pic>
    <xdr:clientData/>
  </xdr:twoCellAnchor>
  <xdr:twoCellAnchor editAs="oneCell">
    <xdr:from>
      <xdr:col>12</xdr:col>
      <xdr:colOff>171450</xdr:colOff>
      <xdr:row>72</xdr:row>
      <xdr:rowOff>10902</xdr:rowOff>
    </xdr:from>
    <xdr:to>
      <xdr:col>24</xdr:col>
      <xdr:colOff>465539</xdr:colOff>
      <xdr:row>81</xdr:row>
      <xdr:rowOff>37918</xdr:rowOff>
    </xdr:to>
    <xdr:pic>
      <xdr:nvPicPr>
        <xdr:cNvPr id="9" name="图片 8">
          <a:extLst>
            <a:ext uri="{FF2B5EF4-FFF2-40B4-BE49-F238E27FC236}">
              <a16:creationId xmlns:a16="http://schemas.microsoft.com/office/drawing/2014/main" id="{DFDB5F29-A69C-472A-9EDE-A0B0B3A77691}"/>
            </a:ext>
          </a:extLst>
        </xdr:cNvPr>
        <xdr:cNvPicPr>
          <a:picLocks noChangeAspect="1"/>
        </xdr:cNvPicPr>
      </xdr:nvPicPr>
      <xdr:blipFill>
        <a:blip xmlns:r="http://schemas.openxmlformats.org/officeDocument/2006/relationships" r:embed="rId7"/>
        <a:stretch>
          <a:fillRect/>
        </a:stretch>
      </xdr:blipFill>
      <xdr:spPr>
        <a:xfrm>
          <a:off x="6219825" y="12221952"/>
          <a:ext cx="9104714" cy="1398616"/>
        </a:xfrm>
        <a:prstGeom prst="rect">
          <a:avLst/>
        </a:prstGeom>
      </xdr:spPr>
    </xdr:pic>
    <xdr:clientData/>
  </xdr:twoCellAnchor>
  <xdr:twoCellAnchor editAs="oneCell">
    <xdr:from>
      <xdr:col>12</xdr:col>
      <xdr:colOff>171450</xdr:colOff>
      <xdr:row>82</xdr:row>
      <xdr:rowOff>0</xdr:rowOff>
    </xdr:from>
    <xdr:to>
      <xdr:col>25</xdr:col>
      <xdr:colOff>417882</xdr:colOff>
      <xdr:row>92</xdr:row>
      <xdr:rowOff>18857</xdr:rowOff>
    </xdr:to>
    <xdr:pic>
      <xdr:nvPicPr>
        <xdr:cNvPr id="10" name="图片 9">
          <a:extLst>
            <a:ext uri="{FF2B5EF4-FFF2-40B4-BE49-F238E27FC236}">
              <a16:creationId xmlns:a16="http://schemas.microsoft.com/office/drawing/2014/main" id="{C811E4C9-7CD5-4259-B917-2AA2E3F72A33}"/>
            </a:ext>
          </a:extLst>
        </xdr:cNvPr>
        <xdr:cNvPicPr>
          <a:picLocks noChangeAspect="1"/>
        </xdr:cNvPicPr>
      </xdr:nvPicPr>
      <xdr:blipFill>
        <a:blip xmlns:r="http://schemas.openxmlformats.org/officeDocument/2006/relationships" r:embed="rId8"/>
        <a:stretch>
          <a:fillRect/>
        </a:stretch>
      </xdr:blipFill>
      <xdr:spPr>
        <a:xfrm>
          <a:off x="6219825" y="13735050"/>
          <a:ext cx="9742857" cy="1542857"/>
        </a:xfrm>
        <a:prstGeom prst="rect">
          <a:avLst/>
        </a:prstGeom>
      </xdr:spPr>
    </xdr:pic>
    <xdr:clientData/>
  </xdr:twoCellAnchor>
  <xdr:twoCellAnchor editAs="oneCell">
    <xdr:from>
      <xdr:col>12</xdr:col>
      <xdr:colOff>152400</xdr:colOff>
      <xdr:row>66</xdr:row>
      <xdr:rowOff>28575</xdr:rowOff>
    </xdr:from>
    <xdr:to>
      <xdr:col>17</xdr:col>
      <xdr:colOff>580531</xdr:colOff>
      <xdr:row>71</xdr:row>
      <xdr:rowOff>57051</xdr:rowOff>
    </xdr:to>
    <xdr:pic>
      <xdr:nvPicPr>
        <xdr:cNvPr id="11" name="图片 10">
          <a:extLst>
            <a:ext uri="{FF2B5EF4-FFF2-40B4-BE49-F238E27FC236}">
              <a16:creationId xmlns:a16="http://schemas.microsoft.com/office/drawing/2014/main" id="{6C2A77BC-E6B2-408A-83D4-484F625E90B1}"/>
            </a:ext>
          </a:extLst>
        </xdr:cNvPr>
        <xdr:cNvPicPr>
          <a:picLocks noChangeAspect="1"/>
        </xdr:cNvPicPr>
      </xdr:nvPicPr>
      <xdr:blipFill>
        <a:blip xmlns:r="http://schemas.openxmlformats.org/officeDocument/2006/relationships" r:embed="rId9"/>
        <a:stretch>
          <a:fillRect/>
        </a:stretch>
      </xdr:blipFill>
      <xdr:spPr>
        <a:xfrm>
          <a:off x="6200775" y="11325225"/>
          <a:ext cx="3952381" cy="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twoCellAnchor editAs="oneCell">
    <xdr:from>
      <xdr:col>10</xdr:col>
      <xdr:colOff>0</xdr:colOff>
      <xdr:row>7</xdr:row>
      <xdr:rowOff>85725</xdr:rowOff>
    </xdr:from>
    <xdr:to>
      <xdr:col>18</xdr:col>
      <xdr:colOff>132648</xdr:colOff>
      <xdr:row>9</xdr:row>
      <xdr:rowOff>57111</xdr:rowOff>
    </xdr:to>
    <xdr:pic>
      <xdr:nvPicPr>
        <xdr:cNvPr id="6" name="图片 5">
          <a:extLst>
            <a:ext uri="{FF2B5EF4-FFF2-40B4-BE49-F238E27FC236}">
              <a16:creationId xmlns:a16="http://schemas.microsoft.com/office/drawing/2014/main" id="{6AF177B7-EA2C-42EB-96BA-BF202DA30D49}"/>
            </a:ext>
          </a:extLst>
        </xdr:cNvPr>
        <xdr:cNvPicPr>
          <a:picLocks noChangeAspect="1"/>
        </xdr:cNvPicPr>
      </xdr:nvPicPr>
      <xdr:blipFill>
        <a:blip xmlns:r="http://schemas.openxmlformats.org/officeDocument/2006/relationships" r:embed="rId5"/>
        <a:stretch>
          <a:fillRect/>
        </a:stretch>
      </xdr:blipFill>
      <xdr:spPr>
        <a:xfrm>
          <a:off x="6858000" y="1419225"/>
          <a:ext cx="5619048" cy="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85725</xdr:rowOff>
    </xdr:from>
    <xdr:to>
      <xdr:col>8</xdr:col>
      <xdr:colOff>623692</xdr:colOff>
      <xdr:row>46</xdr:row>
      <xdr:rowOff>95250</xdr:rowOff>
    </xdr:to>
    <xdr:pic>
      <xdr:nvPicPr>
        <xdr:cNvPr id="2" name="图片 1">
          <a:extLst>
            <a:ext uri="{FF2B5EF4-FFF2-40B4-BE49-F238E27FC236}">
              <a16:creationId xmlns:a16="http://schemas.microsoft.com/office/drawing/2014/main" id="{F9880920-3902-4E2C-9D95-4481CF839957}"/>
            </a:ext>
          </a:extLst>
        </xdr:cNvPr>
        <xdr:cNvPicPr>
          <a:picLocks noChangeAspect="1"/>
        </xdr:cNvPicPr>
      </xdr:nvPicPr>
      <xdr:blipFill>
        <a:blip xmlns:r="http://schemas.openxmlformats.org/officeDocument/2006/relationships" r:embed="rId1"/>
        <a:stretch>
          <a:fillRect/>
        </a:stretch>
      </xdr:blipFill>
      <xdr:spPr>
        <a:xfrm>
          <a:off x="0" y="6772275"/>
          <a:ext cx="6110092" cy="1209675"/>
        </a:xfrm>
        <a:prstGeom prst="rect">
          <a:avLst/>
        </a:prstGeom>
      </xdr:spPr>
    </xdr:pic>
    <xdr:clientData/>
  </xdr:twoCellAnchor>
  <xdr:twoCellAnchor editAs="oneCell">
    <xdr:from>
      <xdr:col>0</xdr:col>
      <xdr:colOff>0</xdr:colOff>
      <xdr:row>46</xdr:row>
      <xdr:rowOff>103362</xdr:rowOff>
    </xdr:from>
    <xdr:to>
      <xdr:col>9</xdr:col>
      <xdr:colOff>190500</xdr:colOff>
      <xdr:row>53</xdr:row>
      <xdr:rowOff>128526</xdr:rowOff>
    </xdr:to>
    <xdr:pic>
      <xdr:nvPicPr>
        <xdr:cNvPr id="3" name="图片 2">
          <a:extLst>
            <a:ext uri="{FF2B5EF4-FFF2-40B4-BE49-F238E27FC236}">
              <a16:creationId xmlns:a16="http://schemas.microsoft.com/office/drawing/2014/main" id="{82C0DB97-BEF5-46FA-AC87-35BFB358B909}"/>
            </a:ext>
          </a:extLst>
        </xdr:cNvPr>
        <xdr:cNvPicPr>
          <a:picLocks noChangeAspect="1"/>
        </xdr:cNvPicPr>
      </xdr:nvPicPr>
      <xdr:blipFill>
        <a:blip xmlns:r="http://schemas.openxmlformats.org/officeDocument/2006/relationships" r:embed="rId2"/>
        <a:stretch>
          <a:fillRect/>
        </a:stretch>
      </xdr:blipFill>
      <xdr:spPr>
        <a:xfrm>
          <a:off x="0" y="7990062"/>
          <a:ext cx="6362700" cy="1225314"/>
        </a:xfrm>
        <a:prstGeom prst="rect">
          <a:avLst/>
        </a:prstGeom>
      </xdr:spPr>
    </xdr:pic>
    <xdr:clientData/>
  </xdr:twoCellAnchor>
  <xdr:twoCellAnchor editAs="oneCell">
    <xdr:from>
      <xdr:col>0</xdr:col>
      <xdr:colOff>0</xdr:colOff>
      <xdr:row>53</xdr:row>
      <xdr:rowOff>95250</xdr:rowOff>
    </xdr:from>
    <xdr:to>
      <xdr:col>9</xdr:col>
      <xdr:colOff>307576</xdr:colOff>
      <xdr:row>61</xdr:row>
      <xdr:rowOff>38100</xdr:rowOff>
    </xdr:to>
    <xdr:pic>
      <xdr:nvPicPr>
        <xdr:cNvPr id="4" name="图片 3">
          <a:extLst>
            <a:ext uri="{FF2B5EF4-FFF2-40B4-BE49-F238E27FC236}">
              <a16:creationId xmlns:a16="http://schemas.microsoft.com/office/drawing/2014/main" id="{56BEA703-1D92-4D81-A5E1-E9636067253D}"/>
            </a:ext>
          </a:extLst>
        </xdr:cNvPr>
        <xdr:cNvPicPr>
          <a:picLocks noChangeAspect="1"/>
        </xdr:cNvPicPr>
      </xdr:nvPicPr>
      <xdr:blipFill>
        <a:blip xmlns:r="http://schemas.openxmlformats.org/officeDocument/2006/relationships" r:embed="rId3"/>
        <a:stretch>
          <a:fillRect/>
        </a:stretch>
      </xdr:blipFill>
      <xdr:spPr>
        <a:xfrm>
          <a:off x="0" y="9182100"/>
          <a:ext cx="6479776" cy="1314450"/>
        </a:xfrm>
        <a:prstGeom prst="rect">
          <a:avLst/>
        </a:prstGeom>
      </xdr:spPr>
    </xdr:pic>
    <xdr:clientData/>
  </xdr:twoCellAnchor>
  <xdr:twoCellAnchor editAs="oneCell">
    <xdr:from>
      <xdr:col>0</xdr:col>
      <xdr:colOff>0</xdr:colOff>
      <xdr:row>61</xdr:row>
      <xdr:rowOff>19050</xdr:rowOff>
    </xdr:from>
    <xdr:to>
      <xdr:col>9</xdr:col>
      <xdr:colOff>231980</xdr:colOff>
      <xdr:row>68</xdr:row>
      <xdr:rowOff>161925</xdr:rowOff>
    </xdr:to>
    <xdr:pic>
      <xdr:nvPicPr>
        <xdr:cNvPr id="5" name="图片 4">
          <a:extLst>
            <a:ext uri="{FF2B5EF4-FFF2-40B4-BE49-F238E27FC236}">
              <a16:creationId xmlns:a16="http://schemas.microsoft.com/office/drawing/2014/main" id="{6860D25E-3D5A-4CA2-B4B7-B90FAAD45E9F}"/>
            </a:ext>
          </a:extLst>
        </xdr:cNvPr>
        <xdr:cNvPicPr>
          <a:picLocks noChangeAspect="1"/>
        </xdr:cNvPicPr>
      </xdr:nvPicPr>
      <xdr:blipFill>
        <a:blip xmlns:r="http://schemas.openxmlformats.org/officeDocument/2006/relationships" r:embed="rId4"/>
        <a:stretch>
          <a:fillRect/>
        </a:stretch>
      </xdr:blipFill>
      <xdr:spPr>
        <a:xfrm>
          <a:off x="0" y="10477500"/>
          <a:ext cx="6404180" cy="1343025"/>
        </a:xfrm>
        <a:prstGeom prst="rect">
          <a:avLst/>
        </a:prstGeom>
      </xdr:spPr>
    </xdr:pic>
    <xdr:clientData/>
  </xdr:twoCellAnchor>
  <xdr:twoCellAnchor editAs="oneCell">
    <xdr:from>
      <xdr:col>0</xdr:col>
      <xdr:colOff>0</xdr:colOff>
      <xdr:row>69</xdr:row>
      <xdr:rowOff>47625</xdr:rowOff>
    </xdr:from>
    <xdr:to>
      <xdr:col>9</xdr:col>
      <xdr:colOff>152400</xdr:colOff>
      <xdr:row>76</xdr:row>
      <xdr:rowOff>126680</xdr:rowOff>
    </xdr:to>
    <xdr:pic>
      <xdr:nvPicPr>
        <xdr:cNvPr id="6" name="图片 5">
          <a:extLst>
            <a:ext uri="{FF2B5EF4-FFF2-40B4-BE49-F238E27FC236}">
              <a16:creationId xmlns:a16="http://schemas.microsoft.com/office/drawing/2014/main" id="{2F8CAD73-CDAB-4554-A13A-BE33B08A7E47}"/>
            </a:ext>
          </a:extLst>
        </xdr:cNvPr>
        <xdr:cNvPicPr>
          <a:picLocks noChangeAspect="1"/>
        </xdr:cNvPicPr>
      </xdr:nvPicPr>
      <xdr:blipFill>
        <a:blip xmlns:r="http://schemas.openxmlformats.org/officeDocument/2006/relationships" r:embed="rId5"/>
        <a:stretch>
          <a:fillRect/>
        </a:stretch>
      </xdr:blipFill>
      <xdr:spPr>
        <a:xfrm>
          <a:off x="0" y="11877675"/>
          <a:ext cx="6324600" cy="1279205"/>
        </a:xfrm>
        <a:prstGeom prst="rect">
          <a:avLst/>
        </a:prstGeom>
      </xdr:spPr>
    </xdr:pic>
    <xdr:clientData/>
  </xdr:twoCellAnchor>
  <xdr:twoCellAnchor editAs="oneCell">
    <xdr:from>
      <xdr:col>0</xdr:col>
      <xdr:colOff>0</xdr:colOff>
      <xdr:row>75</xdr:row>
      <xdr:rowOff>145984</xdr:rowOff>
    </xdr:from>
    <xdr:to>
      <xdr:col>9</xdr:col>
      <xdr:colOff>275065</xdr:colOff>
      <xdr:row>83</xdr:row>
      <xdr:rowOff>18825</xdr:rowOff>
    </xdr:to>
    <xdr:pic>
      <xdr:nvPicPr>
        <xdr:cNvPr id="7" name="图片 6">
          <a:extLst>
            <a:ext uri="{FF2B5EF4-FFF2-40B4-BE49-F238E27FC236}">
              <a16:creationId xmlns:a16="http://schemas.microsoft.com/office/drawing/2014/main" id="{FE3D9610-2944-4A24-8A0E-35871DB0268F}"/>
            </a:ext>
          </a:extLst>
        </xdr:cNvPr>
        <xdr:cNvPicPr>
          <a:picLocks noChangeAspect="1"/>
        </xdr:cNvPicPr>
      </xdr:nvPicPr>
      <xdr:blipFill>
        <a:blip xmlns:r="http://schemas.openxmlformats.org/officeDocument/2006/relationships" r:embed="rId6"/>
        <a:stretch>
          <a:fillRect/>
        </a:stretch>
      </xdr:blipFill>
      <xdr:spPr>
        <a:xfrm>
          <a:off x="0" y="13004734"/>
          <a:ext cx="6447265" cy="1244441"/>
        </a:xfrm>
        <a:prstGeom prst="rect">
          <a:avLst/>
        </a:prstGeom>
      </xdr:spPr>
    </xdr:pic>
    <xdr:clientData/>
  </xdr:twoCellAnchor>
  <xdr:twoCellAnchor editAs="oneCell">
    <xdr:from>
      <xdr:col>0</xdr:col>
      <xdr:colOff>0</xdr:colOff>
      <xdr:row>0</xdr:row>
      <xdr:rowOff>0</xdr:rowOff>
    </xdr:from>
    <xdr:to>
      <xdr:col>11</xdr:col>
      <xdr:colOff>685744</xdr:colOff>
      <xdr:row>7</xdr:row>
      <xdr:rowOff>161925</xdr:rowOff>
    </xdr:to>
    <xdr:pic>
      <xdr:nvPicPr>
        <xdr:cNvPr id="8" name="图片 7">
          <a:extLst>
            <a:ext uri="{FF2B5EF4-FFF2-40B4-BE49-F238E27FC236}">
              <a16:creationId xmlns:a16="http://schemas.microsoft.com/office/drawing/2014/main" id="{011DAE7C-4531-41CD-8D42-9988A0B25375}"/>
            </a:ext>
          </a:extLst>
        </xdr:cNvPr>
        <xdr:cNvPicPr>
          <a:picLocks noChangeAspect="1"/>
        </xdr:cNvPicPr>
      </xdr:nvPicPr>
      <xdr:blipFill>
        <a:blip xmlns:r="http://schemas.openxmlformats.org/officeDocument/2006/relationships" r:embed="rId7"/>
        <a:stretch>
          <a:fillRect/>
        </a:stretch>
      </xdr:blipFill>
      <xdr:spPr>
        <a:xfrm>
          <a:off x="0" y="0"/>
          <a:ext cx="8229544" cy="1362075"/>
        </a:xfrm>
        <a:prstGeom prst="rect">
          <a:avLst/>
        </a:prstGeom>
      </xdr:spPr>
    </xdr:pic>
    <xdr:clientData/>
  </xdr:twoCellAnchor>
  <xdr:twoCellAnchor editAs="oneCell">
    <xdr:from>
      <xdr:col>0</xdr:col>
      <xdr:colOff>1</xdr:colOff>
      <xdr:row>8</xdr:row>
      <xdr:rowOff>1</xdr:rowOff>
    </xdr:from>
    <xdr:to>
      <xdr:col>11</xdr:col>
      <xdr:colOff>590551</xdr:colOff>
      <xdr:row>15</xdr:row>
      <xdr:rowOff>38043</xdr:rowOff>
    </xdr:to>
    <xdr:pic>
      <xdr:nvPicPr>
        <xdr:cNvPr id="9" name="图片 8">
          <a:extLst>
            <a:ext uri="{FF2B5EF4-FFF2-40B4-BE49-F238E27FC236}">
              <a16:creationId xmlns:a16="http://schemas.microsoft.com/office/drawing/2014/main" id="{05238186-B1C7-4942-B424-11CB44E0266F}"/>
            </a:ext>
          </a:extLst>
        </xdr:cNvPr>
        <xdr:cNvPicPr>
          <a:picLocks noChangeAspect="1"/>
        </xdr:cNvPicPr>
      </xdr:nvPicPr>
      <xdr:blipFill>
        <a:blip xmlns:r="http://schemas.openxmlformats.org/officeDocument/2006/relationships" r:embed="rId8"/>
        <a:stretch>
          <a:fillRect/>
        </a:stretch>
      </xdr:blipFill>
      <xdr:spPr>
        <a:xfrm>
          <a:off x="1" y="1371601"/>
          <a:ext cx="8134350" cy="1238192"/>
        </a:xfrm>
        <a:prstGeom prst="rect">
          <a:avLst/>
        </a:prstGeom>
      </xdr:spPr>
    </xdr:pic>
    <xdr:clientData/>
  </xdr:twoCellAnchor>
  <xdr:twoCellAnchor editAs="oneCell">
    <xdr:from>
      <xdr:col>0</xdr:col>
      <xdr:colOff>1</xdr:colOff>
      <xdr:row>14</xdr:row>
      <xdr:rowOff>123826</xdr:rowOff>
    </xdr:from>
    <xdr:to>
      <xdr:col>11</xdr:col>
      <xdr:colOff>552451</xdr:colOff>
      <xdr:row>22</xdr:row>
      <xdr:rowOff>82557</xdr:rowOff>
    </xdr:to>
    <xdr:pic>
      <xdr:nvPicPr>
        <xdr:cNvPr id="10" name="图片 9">
          <a:extLst>
            <a:ext uri="{FF2B5EF4-FFF2-40B4-BE49-F238E27FC236}">
              <a16:creationId xmlns:a16="http://schemas.microsoft.com/office/drawing/2014/main" id="{6AA4F674-CC86-4F7D-8C60-8331E0E8C230}"/>
            </a:ext>
          </a:extLst>
        </xdr:cNvPr>
        <xdr:cNvPicPr>
          <a:picLocks noChangeAspect="1"/>
        </xdr:cNvPicPr>
      </xdr:nvPicPr>
      <xdr:blipFill>
        <a:blip xmlns:r="http://schemas.openxmlformats.org/officeDocument/2006/relationships" r:embed="rId9"/>
        <a:stretch>
          <a:fillRect/>
        </a:stretch>
      </xdr:blipFill>
      <xdr:spPr>
        <a:xfrm>
          <a:off x="1" y="2524126"/>
          <a:ext cx="8096250" cy="1330331"/>
        </a:xfrm>
        <a:prstGeom prst="rect">
          <a:avLst/>
        </a:prstGeom>
      </xdr:spPr>
    </xdr:pic>
    <xdr:clientData/>
  </xdr:twoCellAnchor>
  <xdr:twoCellAnchor editAs="oneCell">
    <xdr:from>
      <xdr:col>0</xdr:col>
      <xdr:colOff>0</xdr:colOff>
      <xdr:row>21</xdr:row>
      <xdr:rowOff>142876</xdr:rowOff>
    </xdr:from>
    <xdr:to>
      <xdr:col>12</xdr:col>
      <xdr:colOff>152400</xdr:colOff>
      <xdr:row>29</xdr:row>
      <xdr:rowOff>133034</xdr:rowOff>
    </xdr:to>
    <xdr:pic>
      <xdr:nvPicPr>
        <xdr:cNvPr id="12" name="图片 11">
          <a:extLst>
            <a:ext uri="{FF2B5EF4-FFF2-40B4-BE49-F238E27FC236}">
              <a16:creationId xmlns:a16="http://schemas.microsoft.com/office/drawing/2014/main" id="{76EA716A-9BE6-465C-B9B9-FA9FB8449366}"/>
            </a:ext>
          </a:extLst>
        </xdr:cNvPr>
        <xdr:cNvPicPr>
          <a:picLocks noChangeAspect="1"/>
        </xdr:cNvPicPr>
      </xdr:nvPicPr>
      <xdr:blipFill>
        <a:blip xmlns:r="http://schemas.openxmlformats.org/officeDocument/2006/relationships" r:embed="rId10"/>
        <a:stretch>
          <a:fillRect/>
        </a:stretch>
      </xdr:blipFill>
      <xdr:spPr>
        <a:xfrm>
          <a:off x="0" y="3743326"/>
          <a:ext cx="8382000" cy="1361758"/>
        </a:xfrm>
        <a:prstGeom prst="rect">
          <a:avLst/>
        </a:prstGeom>
      </xdr:spPr>
    </xdr:pic>
    <xdr:clientData/>
  </xdr:twoCellAnchor>
  <xdr:twoCellAnchor editAs="oneCell">
    <xdr:from>
      <xdr:col>0</xdr:col>
      <xdr:colOff>0</xdr:colOff>
      <xdr:row>29</xdr:row>
      <xdr:rowOff>112382</xdr:rowOff>
    </xdr:from>
    <xdr:to>
      <xdr:col>12</xdr:col>
      <xdr:colOff>209550</xdr:colOff>
      <xdr:row>37</xdr:row>
      <xdr:rowOff>28388</xdr:rowOff>
    </xdr:to>
    <xdr:pic>
      <xdr:nvPicPr>
        <xdr:cNvPr id="13" name="图片 12">
          <a:extLst>
            <a:ext uri="{FF2B5EF4-FFF2-40B4-BE49-F238E27FC236}">
              <a16:creationId xmlns:a16="http://schemas.microsoft.com/office/drawing/2014/main" id="{390D08B7-08E6-4F6B-A5CF-F933DB5302DB}"/>
            </a:ext>
          </a:extLst>
        </xdr:cNvPr>
        <xdr:cNvPicPr>
          <a:picLocks noChangeAspect="1"/>
        </xdr:cNvPicPr>
      </xdr:nvPicPr>
      <xdr:blipFill>
        <a:blip xmlns:r="http://schemas.openxmlformats.org/officeDocument/2006/relationships" r:embed="rId11"/>
        <a:stretch>
          <a:fillRect/>
        </a:stretch>
      </xdr:blipFill>
      <xdr:spPr>
        <a:xfrm>
          <a:off x="0" y="5084432"/>
          <a:ext cx="8439150" cy="1287606"/>
        </a:xfrm>
        <a:prstGeom prst="rect">
          <a:avLst/>
        </a:prstGeom>
      </xdr:spPr>
    </xdr:pic>
    <xdr:clientData/>
  </xdr:twoCellAnchor>
  <xdr:twoCellAnchor editAs="oneCell">
    <xdr:from>
      <xdr:col>12</xdr:col>
      <xdr:colOff>257175</xdr:colOff>
      <xdr:row>1</xdr:row>
      <xdr:rowOff>9525</xdr:rowOff>
    </xdr:from>
    <xdr:to>
      <xdr:col>22</xdr:col>
      <xdr:colOff>380127</xdr:colOff>
      <xdr:row>25</xdr:row>
      <xdr:rowOff>142344</xdr:rowOff>
    </xdr:to>
    <xdr:pic>
      <xdr:nvPicPr>
        <xdr:cNvPr id="14" name="图片 13">
          <a:extLst>
            <a:ext uri="{FF2B5EF4-FFF2-40B4-BE49-F238E27FC236}">
              <a16:creationId xmlns:a16="http://schemas.microsoft.com/office/drawing/2014/main" id="{9FF12C13-8AA2-4B31-B586-6FFFDF4BC621}"/>
            </a:ext>
          </a:extLst>
        </xdr:cNvPr>
        <xdr:cNvPicPr>
          <a:picLocks noChangeAspect="1"/>
        </xdr:cNvPicPr>
      </xdr:nvPicPr>
      <xdr:blipFill>
        <a:blip xmlns:r="http://schemas.openxmlformats.org/officeDocument/2006/relationships" r:embed="rId12"/>
        <a:stretch>
          <a:fillRect/>
        </a:stretch>
      </xdr:blipFill>
      <xdr:spPr>
        <a:xfrm>
          <a:off x="8486775" y="180975"/>
          <a:ext cx="6980952" cy="4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61</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f>'预评函-封皮'!B40</f>
        <v>0</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估价对象为北京市房地产，为所有。根据《国有土地使用证》[]，估价对象（分摊）出让国有建设用地使用权面积为0平方米，建筑面积为140平方米。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估价对象为北京市房地产,属开发建设的，该项目尚在开发建设中。根据《国有土地使用证》[]，估价对象（分摊）出让国有建设用地使用权面积为0平方米，规划建筑面积为140平方米。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2023年3月6日（评估专业人员实地查勘之日）</v>
      </c>
    </row>
    <row r="13" spans="1:2" s="1203" customFormat="1">
      <c r="A13" s="1201" t="s">
        <v>525</v>
      </c>
      <c r="B13" s="1202"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140</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617"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7"/>
      <c r="B54" s="1554" t="s">
        <v>381</v>
      </c>
      <c r="C54" s="1551" t="s">
        <v>579</v>
      </c>
    </row>
    <row r="55" spans="1:4">
      <c r="A55" s="3617"/>
      <c r="B55" s="1554" t="s">
        <v>382</v>
      </c>
      <c r="C55" s="1551" t="s">
        <v>580</v>
      </c>
    </row>
    <row r="56" spans="1:4">
      <c r="A56" s="3617"/>
      <c r="B56" s="1554" t="s">
        <v>383</v>
      </c>
      <c r="C56" s="1551" t="s">
        <v>584</v>
      </c>
    </row>
    <row r="57" spans="1:4">
      <c r="A57" s="3617"/>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2" t="s">
        <v>2589</v>
      </c>
      <c r="J1" s="3221"/>
      <c r="K1" s="3221"/>
      <c r="L1" s="3221"/>
      <c r="M1" s="3221"/>
      <c r="N1" s="3433"/>
      <c r="O1" s="3433"/>
      <c r="P1" s="3433"/>
      <c r="Q1" s="3433"/>
      <c r="R1" s="3433"/>
    </row>
    <row r="2" spans="1:18">
      <c r="A2" s="3014"/>
      <c r="B2" s="3015"/>
      <c r="C2" s="3015"/>
      <c r="D2" s="3015"/>
      <c r="E2" s="3015"/>
      <c r="F2" s="3016"/>
      <c r="I2" s="3618" t="s">
        <v>2576</v>
      </c>
      <c r="J2" s="3618"/>
      <c r="K2" s="3618"/>
      <c r="L2" s="3618"/>
      <c r="M2" s="3618"/>
      <c r="N2" s="3618"/>
      <c r="O2" s="3618"/>
      <c r="P2" s="3618"/>
      <c r="Q2" s="3618"/>
      <c r="R2" s="3618"/>
    </row>
    <row r="3" spans="1:18">
      <c r="A3" s="3017" t="s">
        <v>2497</v>
      </c>
      <c r="B3" s="3018">
        <v>44963</v>
      </c>
      <c r="C3" s="3020"/>
      <c r="D3" s="3020"/>
      <c r="E3" s="3020"/>
      <c r="F3" s="3016"/>
      <c r="I3" s="3434"/>
      <c r="J3" s="3434" t="s">
        <v>2580</v>
      </c>
      <c r="K3" s="3434" t="s">
        <v>2581</v>
      </c>
      <c r="L3" s="3434" t="s">
        <v>2582</v>
      </c>
      <c r="M3" s="3434" t="s">
        <v>2583</v>
      </c>
      <c r="N3" s="3435" t="s">
        <v>2584</v>
      </c>
      <c r="O3" s="3435" t="s">
        <v>2585</v>
      </c>
      <c r="P3" s="3435" t="s">
        <v>2586</v>
      </c>
      <c r="Q3" s="3435" t="s">
        <v>2587</v>
      </c>
      <c r="R3" s="3435" t="s">
        <v>2588</v>
      </c>
    </row>
    <row r="4" spans="1:18">
      <c r="A4" s="3017" t="s">
        <v>2498</v>
      </c>
      <c r="B4" s="3020" t="s">
        <v>2499</v>
      </c>
      <c r="C4" s="3020" t="s">
        <v>2500</v>
      </c>
      <c r="D4" s="3020" t="s">
        <v>2501</v>
      </c>
      <c r="E4" s="3020" t="s">
        <v>2502</v>
      </c>
      <c r="F4" s="3016"/>
      <c r="I4" s="3434" t="s">
        <v>2577</v>
      </c>
      <c r="J4" s="3434">
        <v>80</v>
      </c>
      <c r="K4" s="3434">
        <v>70</v>
      </c>
      <c r="L4" s="3434">
        <v>20</v>
      </c>
      <c r="M4" s="3434">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4" t="s">
        <v>2578</v>
      </c>
      <c r="J5" s="3434">
        <v>70</v>
      </c>
      <c r="K5" s="3434">
        <v>60</v>
      </c>
      <c r="L5" s="3434">
        <v>15</v>
      </c>
      <c r="M5" s="3434">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4" t="s">
        <v>2579</v>
      </c>
      <c r="J6" s="3434">
        <v>60</v>
      </c>
      <c r="K6" s="3434">
        <v>50</v>
      </c>
      <c r="L6" s="3434">
        <v>10</v>
      </c>
      <c r="M6" s="3434">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6" sqref="B16:D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27" t="str">
        <f>IF(B10="北京市","北京市",C10)&amp;F10&amp;IF(结果表!G1="在建","出让国有建设用地使用权及在建建筑物",IF(结果表!G1="土地","出让国有建设用地使用权",))&amp;B9&amp;"预评估"</f>
        <v>北京市房地产市场价值预评估</v>
      </c>
      <c r="C1" s="3628"/>
      <c r="D1" s="3628"/>
      <c r="E1" s="3628"/>
      <c r="F1" s="3628"/>
      <c r="G1" s="3628"/>
      <c r="H1" s="3628"/>
      <c r="I1" s="3629"/>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44991</v>
      </c>
      <c r="C3" s="2372" t="s">
        <v>2163</v>
      </c>
      <c r="D3" s="2371">
        <f>B3</f>
        <v>44991</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7"/>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3564</v>
      </c>
      <c r="C8" s="2387"/>
      <c r="D8" s="3630" t="s">
        <v>2169</v>
      </c>
      <c r="E8" s="2388"/>
      <c r="F8" s="2389"/>
      <c r="G8" s="2660"/>
      <c r="H8" s="2660"/>
      <c r="I8" s="2660"/>
      <c r="J8" s="2436"/>
      <c r="K8" s="2611"/>
      <c r="L8" s="2610"/>
      <c r="M8" s="2610"/>
      <c r="N8" s="2436"/>
      <c r="O8" s="2447"/>
      <c r="P8" s="2436"/>
      <c r="Q8" s="2436"/>
      <c r="R8" s="2436"/>
    </row>
    <row r="9" spans="1:30" ht="13.5" thickBot="1">
      <c r="A9" s="2390" t="s">
        <v>2170</v>
      </c>
      <c r="B9" s="2391" t="s">
        <v>3565</v>
      </c>
      <c r="C9" s="2392"/>
      <c r="D9" s="3631"/>
      <c r="E9" s="2391"/>
      <c r="F9" s="2393"/>
      <c r="G9" s="2662"/>
      <c r="H9" s="2662"/>
      <c r="I9" s="2662"/>
      <c r="J9" s="2436"/>
      <c r="K9" s="2613"/>
      <c r="L9" s="2610"/>
      <c r="M9" s="2610"/>
      <c r="N9" s="2436"/>
      <c r="O9" s="2447"/>
      <c r="P9" s="2436"/>
      <c r="Q9" s="2436"/>
      <c r="R9" s="2436"/>
    </row>
    <row r="10" spans="1:30" ht="13.5" thickTop="1">
      <c r="A10" s="2394" t="s">
        <v>2171</v>
      </c>
      <c r="B10" s="2395" t="s">
        <v>3566</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3640</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544" t="s">
        <v>3585</v>
      </c>
      <c r="K12" s="2610" t="s">
        <v>3586</v>
      </c>
      <c r="L12" s="3546" t="s">
        <v>3587</v>
      </c>
      <c r="M12" s="2436">
        <v>2</v>
      </c>
      <c r="N12" s="2447"/>
      <c r="O12" s="2436"/>
      <c r="P12" s="2436"/>
      <c r="Q12" s="2436"/>
      <c r="AD12" s="1745"/>
    </row>
    <row r="13" spans="1:30">
      <c r="A13" s="3418" t="s">
        <v>3332</v>
      </c>
      <c r="B13" s="2404" t="s">
        <v>2182</v>
      </c>
      <c r="C13" s="856"/>
      <c r="D13" s="856">
        <v>59601</v>
      </c>
      <c r="E13" s="856"/>
      <c r="F13" s="856"/>
      <c r="G13" s="856"/>
      <c r="H13" s="856"/>
      <c r="I13" s="856"/>
      <c r="J13" s="3544" t="s">
        <v>3583</v>
      </c>
      <c r="K13" s="3547">
        <f>70-(2023-K12-M12)</f>
        <v>35</v>
      </c>
      <c r="L13" s="2610"/>
      <c r="M13" s="2436"/>
      <c r="N13" s="2447"/>
      <c r="O13" s="2436"/>
      <c r="P13" s="2436"/>
      <c r="Q13" s="2436"/>
      <c r="AD13" s="1745"/>
    </row>
    <row r="14" spans="1:30">
      <c r="A14" s="1081"/>
      <c r="B14" s="2404" t="s">
        <v>2183</v>
      </c>
      <c r="C14" s="2405">
        <v>70</v>
      </c>
      <c r="D14" s="2405">
        <v>40</v>
      </c>
      <c r="E14" s="2405"/>
      <c r="F14" s="2405"/>
      <c r="G14" s="2405"/>
      <c r="H14" s="2405"/>
      <c r="I14" s="2405"/>
      <c r="J14" s="3545" t="s">
        <v>3584</v>
      </c>
      <c r="K14" s="3547">
        <f>60-(2023-K12)</f>
        <v>23</v>
      </c>
      <c r="L14" s="2610"/>
      <c r="M14" s="2436"/>
      <c r="N14" s="2447"/>
      <c r="O14" s="2436"/>
      <c r="P14" s="2436"/>
      <c r="Q14" s="2436"/>
      <c r="AD14" s="1745"/>
    </row>
    <row r="15" spans="1:30">
      <c r="A15" s="320"/>
      <c r="B15" s="2406" t="s">
        <v>2184</v>
      </c>
      <c r="C15" s="2407" t="str">
        <f>IF(A13="出让",IF(C13="","",ROUNDDOWN(MIN((C13-$D$3)/365,C14),2)),C14)</f>
        <v/>
      </c>
      <c r="D15" s="2407">
        <f>IF(A13="出让",IF(D13="","",ROUNDDOWN(MIN((D13-$D$3)/365,D14),2)),D14)</f>
        <v>40</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5"/>
    </row>
    <row r="16" spans="1:30">
      <c r="A16" s="2397" t="s">
        <v>2185</v>
      </c>
      <c r="B16" s="3637"/>
      <c r="C16" s="3638"/>
      <c r="D16" s="3639"/>
      <c r="E16" s="2410" t="s">
        <v>2186</v>
      </c>
      <c r="F16" s="3640"/>
      <c r="G16" s="3641"/>
      <c r="H16" s="3641"/>
      <c r="I16" s="3642"/>
      <c r="J16" s="2436"/>
      <c r="K16" s="2614"/>
      <c r="L16" s="2448"/>
      <c r="M16" s="2448"/>
      <c r="N16" s="2506"/>
      <c r="O16" s="2448"/>
      <c r="P16" s="2506"/>
      <c r="Q16" s="2436"/>
      <c r="R16" s="2436"/>
    </row>
    <row r="17" spans="1:28">
      <c r="A17" s="313" t="s">
        <v>2187</v>
      </c>
      <c r="B17" s="302" t="s">
        <v>2188</v>
      </c>
      <c r="C17" s="8">
        <f>'数据-汇总表'!E3</f>
        <v>140</v>
      </c>
      <c r="D17" s="2320" t="s">
        <v>2189</v>
      </c>
      <c r="E17" s="3643" t="s">
        <v>2190</v>
      </c>
      <c r="F17" s="3644"/>
      <c r="G17" s="3644"/>
      <c r="H17" s="3644"/>
      <c r="I17" s="3645"/>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46" t="s">
        <v>2194</v>
      </c>
      <c r="F18" s="3647"/>
      <c r="G18" s="3647"/>
      <c r="H18" s="3647"/>
      <c r="I18" s="3648"/>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33" t="s">
        <v>2198</v>
      </c>
      <c r="C20" s="3634"/>
      <c r="D20" s="3635" t="s">
        <v>2199</v>
      </c>
      <c r="E20" s="3636"/>
      <c r="F20" s="2644" t="s">
        <v>1052</v>
      </c>
      <c r="G20" s="2661"/>
      <c r="H20" s="2661"/>
      <c r="I20" s="2661"/>
      <c r="J20" s="2436"/>
      <c r="K20" s="3632"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0"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0"/>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0"/>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1"/>
      <c r="B30" s="302" t="s">
        <v>2210</v>
      </c>
      <c r="C30" s="3622"/>
      <c r="D30" s="3623"/>
      <c r="E30" s="2661"/>
      <c r="F30" s="2661"/>
      <c r="G30" s="2661"/>
      <c r="H30" s="2661"/>
      <c r="I30" s="2661"/>
      <c r="J30" s="2436"/>
      <c r="K30" s="2613"/>
      <c r="L30" s="2610"/>
      <c r="M30" s="2610"/>
      <c r="N30" s="2436"/>
      <c r="O30" s="2447"/>
      <c r="P30" s="2436"/>
      <c r="Q30" s="2436"/>
      <c r="R30" s="2436"/>
      <c r="S30" s="2436"/>
      <c r="T30" s="2436"/>
      <c r="U30" s="2436"/>
      <c r="V30" s="2436"/>
    </row>
    <row r="31" spans="1:28">
      <c r="A31" s="3624"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25"/>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25"/>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19" t="s">
        <v>2220</v>
      </c>
      <c r="T34" s="2425" t="str">
        <f>NUMBERSTRING(7-K34,1)&amp;"通"</f>
        <v>七通</v>
      </c>
      <c r="U34" s="2436"/>
      <c r="V34" s="2436"/>
    </row>
    <row r="35" spans="1:30">
      <c r="A35" s="2426"/>
      <c r="B35" s="3626" t="s">
        <v>2221</v>
      </c>
      <c r="C35" s="3626"/>
      <c r="D35" s="3626"/>
      <c r="E35" s="3626"/>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9"/>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0"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140</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140</v>
      </c>
      <c r="H5" s="13">
        <f t="shared" ref="H5:AT5" si="0">SUM(H13:H656)</f>
        <v>140</v>
      </c>
      <c r="I5" s="13">
        <f t="shared" si="0"/>
        <v>140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140</v>
      </c>
      <c r="BA5" s="15">
        <f t="shared" si="1"/>
        <v>140</v>
      </c>
      <c r="BB5" s="15">
        <f t="shared" si="1"/>
        <v>140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3493</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3495</v>
      </c>
      <c r="E13" s="13">
        <f>IF($C$3="是",ROUND($A$3*G13/$B$3,2),ROUND($A$3*(G13-AT13)/$B$3,2))</f>
        <v>0</v>
      </c>
      <c r="F13" s="29"/>
      <c r="G13" s="30">
        <f>H13+AC13+AT13</f>
        <v>140</v>
      </c>
      <c r="H13" s="17">
        <f>SUMIF(I$12:AB$12,"总值",I13:AB13)</f>
        <v>140</v>
      </c>
      <c r="I13" s="1626">
        <v>140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140</v>
      </c>
      <c r="BA13" s="13">
        <f>SUM(BB13:BK13)</f>
        <v>140</v>
      </c>
      <c r="BB13" s="13">
        <f>IF($D13="是",I13-J13,0)</f>
        <v>140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22" sqref="F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58" t="s">
        <v>1127</v>
      </c>
      <c r="B2" s="3658"/>
      <c r="C2" s="3658"/>
      <c r="D2" s="796" t="s">
        <v>1103</v>
      </c>
      <c r="E2" s="1639" t="s">
        <v>1104</v>
      </c>
      <c r="F2" s="2656"/>
      <c r="G2" s="2647"/>
      <c r="H2" s="2648"/>
      <c r="I2" s="2323" t="s">
        <v>1128</v>
      </c>
      <c r="J2" s="2656"/>
      <c r="K2" s="2656"/>
      <c r="L2" s="2656"/>
      <c r="M2" s="2656"/>
      <c r="N2" s="2658"/>
      <c r="O2" s="2656"/>
      <c r="P2" s="2656"/>
    </row>
    <row r="3" spans="1:16" ht="15.75" thickBot="1">
      <c r="A3" s="3659" t="s">
        <v>1101</v>
      </c>
      <c r="B3" s="3659"/>
      <c r="C3" s="3659"/>
      <c r="D3" s="43">
        <f>'数据-基础表'!AY6</f>
        <v>0</v>
      </c>
      <c r="E3" s="43">
        <f>'数据-基础表'!AZ5</f>
        <v>140</v>
      </c>
      <c r="F3" s="2656"/>
      <c r="G3" s="1145"/>
      <c r="H3" s="1026" t="s">
        <v>1102</v>
      </c>
      <c r="I3" s="855" t="e">
        <f>ROUND('数据-基础表'!B3/'数据-基础表'!A3,2)</f>
        <v>#DIV/0!</v>
      </c>
      <c r="J3" s="2656"/>
      <c r="K3" s="2656"/>
      <c r="L3" s="2656"/>
      <c r="M3" s="2656"/>
      <c r="N3" s="2658"/>
      <c r="O3" s="2656"/>
      <c r="P3" s="2656"/>
    </row>
    <row r="4" spans="1:16" ht="15">
      <c r="A4" s="3660"/>
      <c r="B4" s="3661"/>
      <c r="C4" s="3662"/>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63" t="s">
        <v>1106</v>
      </c>
      <c r="C5" s="3663"/>
      <c r="D5" s="45">
        <f>ROUND($D$3*E5/$E$3,2)</f>
        <v>0</v>
      </c>
      <c r="E5" s="46">
        <f>SUMIF('数据-基础表'!$11:$11,"住宅",'数据-基础表'!$5:$5)</f>
        <v>0</v>
      </c>
      <c r="F5" s="2656"/>
      <c r="G5" s="1145"/>
      <c r="H5" s="1026" t="s">
        <v>1102</v>
      </c>
      <c r="I5" s="855" t="e">
        <f>ROUND(E31/D31,2)</f>
        <v>#DIV/0!</v>
      </c>
      <c r="J5" s="2656"/>
      <c r="K5" s="2656"/>
      <c r="L5" s="2656"/>
      <c r="M5" s="2656"/>
      <c r="N5" s="2656"/>
      <c r="O5" s="2656"/>
      <c r="P5" s="2656"/>
    </row>
    <row r="6" spans="1:16" ht="15" thickBot="1">
      <c r="A6" s="1644"/>
      <c r="B6" s="3663" t="s">
        <v>1107</v>
      </c>
      <c r="C6" s="3663"/>
      <c r="D6" s="45">
        <f>ROUND($D$3*E6/$E$3,2)</f>
        <v>0</v>
      </c>
      <c r="E6" s="46">
        <f>E3-E5</f>
        <v>140</v>
      </c>
      <c r="F6" s="2656"/>
      <c r="G6" s="2650" t="s">
        <v>1108</v>
      </c>
      <c r="H6" s="1146" t="s">
        <v>1109</v>
      </c>
      <c r="I6" s="2651" t="e">
        <f>ROUND(F31/D31,2)</f>
        <v>#DIV/0!</v>
      </c>
      <c r="J6" s="2656"/>
      <c r="K6" s="2656"/>
      <c r="L6" s="2656"/>
      <c r="M6" s="2656"/>
      <c r="N6" s="2656"/>
      <c r="O6" s="2656"/>
      <c r="P6" s="2656"/>
    </row>
    <row r="7" spans="1:16" ht="15.75" thickBot="1">
      <c r="A7" s="3655"/>
      <c r="B7" s="3656"/>
      <c r="C7" s="3657"/>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140</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140</v>
      </c>
      <c r="F16" s="2656"/>
      <c r="G16" s="2657"/>
      <c r="H16" s="1648" t="s">
        <v>1131</v>
      </c>
      <c r="I16" s="1649"/>
      <c r="J16" s="1139"/>
      <c r="K16" s="3652" t="s">
        <v>1131</v>
      </c>
      <c r="L16" s="3653"/>
      <c r="M16" s="3653"/>
      <c r="N16" s="3653"/>
      <c r="O16" s="3653"/>
      <c r="P16" s="3654"/>
    </row>
    <row r="17" spans="1:19" ht="15">
      <c r="A17" s="1650" t="s">
        <v>1132</v>
      </c>
      <c r="B17" s="1651" t="s">
        <v>1133</v>
      </c>
      <c r="C17" s="1652" t="s">
        <v>1134</v>
      </c>
      <c r="D17" s="1653" t="s">
        <v>1122</v>
      </c>
      <c r="E17" s="1654" t="s">
        <v>1123</v>
      </c>
      <c r="F17" s="1655"/>
      <c r="G17" s="1656"/>
      <c r="H17" s="1657" t="s">
        <v>1135</v>
      </c>
      <c r="I17" s="1658" t="s">
        <v>1120</v>
      </c>
      <c r="J17" s="1139"/>
      <c r="K17" s="3649" t="s">
        <v>1136</v>
      </c>
      <c r="L17" s="3650"/>
      <c r="M17" s="3651"/>
      <c r="N17" s="3649" t="s">
        <v>1137</v>
      </c>
      <c r="O17" s="3650"/>
      <c r="P17" s="3651"/>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2" t="str">
        <f>'数据-基础表'!I10</f>
        <v>商业</v>
      </c>
      <c r="D19" s="45">
        <f>ROUND($D$3*E19/$E$3,2)</f>
        <v>0</v>
      </c>
      <c r="E19" s="53">
        <f t="shared" ref="E19:E26" si="1">SUM(F19:G19)</f>
        <v>140</v>
      </c>
      <c r="F19" s="2792">
        <f>'数据-基础表'!I13</f>
        <v>140</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140</v>
      </c>
    </row>
    <row r="20" spans="1:19">
      <c r="A20" s="1670"/>
      <c r="B20" s="47" t="s">
        <v>1149</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140</v>
      </c>
      <c r="F27" s="1140">
        <f>IF(SUM(F19:F26)=E8,SUM(F19:F26),"地上面积有误")</f>
        <v>140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140</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140</v>
      </c>
      <c r="F31" s="677">
        <f>F27+F30</f>
        <v>140</v>
      </c>
      <c r="G31" s="678">
        <f>G27+G30</f>
        <v>0</v>
      </c>
      <c r="H31" s="2656"/>
      <c r="I31" s="2656"/>
      <c r="J31" s="2656"/>
      <c r="K31" s="2656"/>
      <c r="L31" s="2656"/>
      <c r="M31" s="2656"/>
      <c r="N31" s="2656"/>
      <c r="O31" s="2656"/>
      <c r="P31" s="2656"/>
    </row>
    <row r="32" spans="1:19">
      <c r="A32" s="1643"/>
      <c r="B32" s="1643" t="s">
        <v>1155</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12" sqref="J1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3496</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669</v>
      </c>
      <c r="D6" s="858">
        <f>SUMIF(项目基本情况!C$12:I$12,C6,项目基本情况!C$14:I$14)</f>
        <v>40</v>
      </c>
      <c r="E6" s="857">
        <f>IF(B6="","",SUMIF(项目基本情况!C$12:I$12,C6,项目基本情况!C$13:I$13))</f>
        <v>59601</v>
      </c>
      <c r="F6" s="64">
        <f>SUMIF(项目基本情况!C$12:I$12,C6,项目基本情况!C$15:I$15)</f>
        <v>40</v>
      </c>
      <c r="G6" s="65">
        <f>IF(ISERROR(ROUND(POWER(1+H6,D6-F6)*(POWER(1+H6,F6)-1)/(POWER(1+H6,D6)-1),3)),0,ROUND(POWER(1+H6,D6-F6)*(POWER(1+H6,F6)-1)/(POWER(1+H6,D6)-1),3))</f>
        <v>1</v>
      </c>
      <c r="H6" s="732">
        <v>0.04</v>
      </c>
      <c r="I6" s="732">
        <v>0.04</v>
      </c>
      <c r="J6" s="66"/>
      <c r="K6" s="1030">
        <f>SUMIF('数据-汇总表'!C$19:C$33,A6,'数据-汇总表'!E$19:E$33)</f>
        <v>140</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f>N6</f>
        <v>0.6</v>
      </c>
      <c r="Z6" s="72"/>
      <c r="AA6" s="66"/>
      <c r="AB6" s="66"/>
      <c r="AC6" s="1040"/>
      <c r="AD6" s="73"/>
      <c r="AE6" s="1041">
        <f ca="1">IF(AN6="",0,SUMIF(INDIRECT("'"&amp;AN6&amp;"'"&amp;"!E:E"),$AE$5,INDIRECT("'"&amp;AN6&amp;"'"&amp;"!F:F")))</f>
        <v>0</v>
      </c>
      <c r="AF6" s="1348"/>
      <c r="AG6" s="138">
        <f>IF(AF6="",0,AE6-AF6)</f>
        <v>0</v>
      </c>
      <c r="AH6" s="74">
        <f>'数据-汇总表'!E19</f>
        <v>140</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f>ROUND(SUMPRODUCT(G6:G13,K6:K13)/SUMPRODUCT((G6:G13&gt;0)*(K6:K13)),3)</f>
        <v>1</v>
      </c>
      <c r="H16" s="90">
        <f>ROUND(SUMPRODUCT(H6:H13,K6:K13)/SUMPRODUCT((H6:H13&gt;0)*(K6:K13)),3)</f>
        <v>0.04</v>
      </c>
      <c r="I16" s="91"/>
      <c r="J16" s="91"/>
      <c r="K16" s="92">
        <f>SUM(K6:K15)</f>
        <v>140</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64" t="s">
        <v>2278</v>
      </c>
      <c r="B1" s="3665"/>
      <c r="C1" s="3665"/>
      <c r="D1" s="3665"/>
      <c r="E1" s="3665"/>
      <c r="F1" s="3665"/>
      <c r="G1" s="366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3494</v>
      </c>
      <c r="D1" s="1747"/>
      <c r="E1" s="1747"/>
      <c r="F1" s="1749" t="s">
        <v>1259</v>
      </c>
      <c r="G1" s="1561" t="s">
        <v>3556</v>
      </c>
      <c r="H1" s="1750" t="str">
        <f>IF(G1="现房","——","估价对象范围")</f>
        <v>——</v>
      </c>
      <c r="I1" s="1751"/>
    </row>
    <row r="2" spans="1:12" ht="21.75" customHeight="1" thickBot="1">
      <c r="A2" s="3700" t="str">
        <f>项目基本情况!S2</f>
        <v>北京市房地产</v>
      </c>
      <c r="B2" s="3701"/>
      <c r="C2" s="3701"/>
      <c r="D2" s="3701"/>
      <c r="E2" s="3701"/>
      <c r="F2" s="3701"/>
      <c r="G2" s="3701"/>
      <c r="H2" s="3701"/>
      <c r="I2" s="3702"/>
    </row>
    <row r="3" spans="1:12" ht="12.75">
      <c r="A3" s="3704" t="s">
        <v>1260</v>
      </c>
      <c r="B3" s="3705"/>
      <c r="C3" s="3705"/>
      <c r="D3" s="3705"/>
      <c r="E3" s="3705"/>
      <c r="F3" s="3705"/>
      <c r="G3" s="3705"/>
      <c r="H3" s="3705"/>
      <c r="I3" s="3705"/>
    </row>
    <row r="4" spans="1:12" ht="14.25">
      <c r="A4" s="1754" t="s">
        <v>1261</v>
      </c>
      <c r="B4" s="1755" t="s">
        <v>1262</v>
      </c>
      <c r="C4" s="1756" t="s">
        <v>3555</v>
      </c>
      <c r="D4" s="1756" t="s">
        <v>3497</v>
      </c>
      <c r="E4" s="3706" t="s">
        <v>1263</v>
      </c>
      <c r="F4" s="3707"/>
      <c r="G4" s="3707"/>
      <c r="H4" s="3707"/>
      <c r="I4" s="37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0" t="s">
        <v>1264</v>
      </c>
      <c r="B5" s="3667">
        <v>25</v>
      </c>
      <c r="C5" s="3683"/>
      <c r="D5" s="3703"/>
      <c r="E5" s="131" t="s">
        <v>1265</v>
      </c>
      <c r="F5" s="1757"/>
      <c r="G5" s="1757"/>
      <c r="H5" s="1757"/>
      <c r="I5" s="1373"/>
    </row>
    <row r="6" spans="1:12" ht="12.75">
      <c r="A6" s="3680"/>
      <c r="B6" s="3667"/>
      <c r="C6" s="3684"/>
      <c r="D6" s="3703"/>
      <c r="E6" s="131" t="s">
        <v>1266</v>
      </c>
      <c r="F6" s="1757"/>
      <c r="G6" s="1757"/>
      <c r="H6" s="1757"/>
      <c r="I6" s="1373"/>
    </row>
    <row r="7" spans="1:12" ht="12.75">
      <c r="A7" s="3680"/>
      <c r="B7" s="3667"/>
      <c r="C7" s="3685"/>
      <c r="D7" s="3703"/>
      <c r="E7" s="131" t="s">
        <v>1267</v>
      </c>
      <c r="F7" s="1757"/>
      <c r="G7" s="1757"/>
      <c r="H7" s="1757"/>
      <c r="I7" s="1373"/>
    </row>
    <row r="8" spans="1:12" ht="12.75">
      <c r="A8" s="3680" t="s">
        <v>1268</v>
      </c>
      <c r="B8" s="3667">
        <v>15</v>
      </c>
      <c r="C8" s="3683"/>
      <c r="D8" s="3703"/>
      <c r="E8" s="131" t="s">
        <v>1269</v>
      </c>
      <c r="F8" s="1757"/>
      <c r="G8" s="1757"/>
      <c r="H8" s="1757"/>
      <c r="I8" s="1373"/>
    </row>
    <row r="9" spans="1:12" ht="12.75">
      <c r="A9" s="3680"/>
      <c r="B9" s="3667"/>
      <c r="C9" s="3685"/>
      <c r="D9" s="3703"/>
      <c r="E9" s="131" t="s">
        <v>1270</v>
      </c>
      <c r="F9" s="1757"/>
      <c r="G9" s="1757"/>
      <c r="H9" s="1757"/>
      <c r="I9" s="1373"/>
    </row>
    <row r="10" spans="1:12" ht="12.75">
      <c r="A10" s="3680" t="s">
        <v>1271</v>
      </c>
      <c r="B10" s="3667">
        <v>15</v>
      </c>
      <c r="C10" s="3683"/>
      <c r="D10" s="3703"/>
      <c r="E10" s="131" t="s">
        <v>1272</v>
      </c>
      <c r="F10" s="1757"/>
      <c r="G10" s="1757"/>
      <c r="H10" s="1757"/>
      <c r="I10" s="1373"/>
    </row>
    <row r="11" spans="1:12" ht="12.75">
      <c r="A11" s="3680"/>
      <c r="B11" s="3667"/>
      <c r="C11" s="3685"/>
      <c r="D11" s="3703"/>
      <c r="E11" s="131" t="s">
        <v>1273</v>
      </c>
      <c r="F11" s="1757"/>
      <c r="G11" s="1757"/>
      <c r="H11" s="1757"/>
      <c r="I11" s="1373"/>
    </row>
    <row r="12" spans="1:12" ht="12.75">
      <c r="A12" s="3680" t="s">
        <v>1274</v>
      </c>
      <c r="B12" s="3667">
        <v>15</v>
      </c>
      <c r="C12" s="3683"/>
      <c r="D12" s="3703"/>
      <c r="E12" s="131" t="s">
        <v>1275</v>
      </c>
      <c r="F12" s="1757"/>
      <c r="G12" s="1757"/>
      <c r="H12" s="1757"/>
      <c r="I12" s="1373"/>
    </row>
    <row r="13" spans="1:12" ht="12.75">
      <c r="A13" s="3680"/>
      <c r="B13" s="3667"/>
      <c r="C13" s="3685"/>
      <c r="D13" s="3703"/>
      <c r="E13" s="131" t="s">
        <v>1276</v>
      </c>
      <c r="F13" s="1757"/>
      <c r="G13" s="1757"/>
      <c r="H13" s="1757"/>
      <c r="I13" s="1373"/>
    </row>
    <row r="14" spans="1:12" ht="12.75">
      <c r="A14" s="3680" t="s">
        <v>1277</v>
      </c>
      <c r="B14" s="3667">
        <v>30</v>
      </c>
      <c r="C14" s="3683"/>
      <c r="D14" s="3703"/>
      <c r="E14" s="131" t="s">
        <v>1278</v>
      </c>
      <c r="F14" s="1757"/>
      <c r="G14" s="1757"/>
      <c r="H14" s="1757"/>
      <c r="I14" s="1373"/>
    </row>
    <row r="15" spans="1:12" ht="12.75">
      <c r="A15" s="3680"/>
      <c r="B15" s="3667"/>
      <c r="C15" s="3684"/>
      <c r="D15" s="3703"/>
      <c r="E15" s="131" t="s">
        <v>1279</v>
      </c>
      <c r="F15" s="1757"/>
      <c r="G15" s="1757"/>
      <c r="H15" s="1757"/>
      <c r="I15" s="1373"/>
    </row>
    <row r="16" spans="1:12" ht="12.75">
      <c r="A16" s="3680"/>
      <c r="B16" s="3667"/>
      <c r="C16" s="3685"/>
      <c r="D16" s="3703"/>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90" t="s">
        <v>2123</v>
      </c>
      <c r="F18" s="3691"/>
      <c r="G18" s="3691"/>
      <c r="H18" s="3691"/>
      <c r="I18" s="3691"/>
      <c r="K18" s="302" t="s">
        <v>1285</v>
      </c>
      <c r="L18" s="302">
        <f>IF(C1="",'数据-汇总表'!E3,SUMIF(项目类型,C1,'数据-汇总表'!E17:E26)+SUMIF(项目类型,C1,'数据-汇总表'!I17:I26))</f>
        <v>0</v>
      </c>
      <c r="M18" s="302">
        <f>IF(C1="",'数据-汇总表'!E3,SUMIF(项目类型,C1,'数据-汇总表'!E17:E26))</f>
        <v>0</v>
      </c>
    </row>
    <row r="19" spans="1:36" ht="15">
      <c r="A19" s="1761" t="s">
        <v>1286</v>
      </c>
      <c r="B19" s="1762" t="s">
        <v>1287</v>
      </c>
      <c r="C19" s="134">
        <f ca="1">SUMIF(INDIRECT("'"&amp;C4&amp;"'"&amp;"!A:A"),结果表!B19,INDIRECT("'"&amp;C4&amp;"'"&amp;"!B:B"))</f>
        <v>0</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120440</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74" t="s">
        <v>1295</v>
      </c>
      <c r="B24" s="1762" t="s">
        <v>1287</v>
      </c>
      <c r="C24" s="136">
        <f>IF(B30=0,0,D30)</f>
        <v>0</v>
      </c>
      <c r="D24" s="1769"/>
      <c r="E24" s="129"/>
      <c r="F24" s="129"/>
      <c r="G24" s="129"/>
      <c r="H24" s="129"/>
      <c r="I24" s="129"/>
    </row>
    <row r="25" spans="1:36" ht="14.25">
      <c r="A25" s="3675"/>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94" t="s">
        <v>1308</v>
      </c>
      <c r="B36" s="1787" t="s">
        <v>1309</v>
      </c>
      <c r="C36" s="145"/>
      <c r="D36" s="1788"/>
      <c r="E36" s="1789"/>
      <c r="F36" s="1790"/>
      <c r="G36" s="129"/>
      <c r="H36" s="129"/>
      <c r="I36" s="129"/>
    </row>
    <row r="37" spans="1:15" ht="15.75" thickBot="1">
      <c r="A37" s="3695"/>
      <c r="B37" s="1674" t="s">
        <v>1310</v>
      </c>
      <c r="C37" s="147"/>
      <c r="D37" s="1139"/>
      <c r="E37" s="1139"/>
      <c r="F37" s="1790"/>
      <c r="G37" s="129"/>
      <c r="H37" s="129"/>
      <c r="I37" s="129"/>
    </row>
    <row r="38" spans="1:15" ht="15.75" thickBot="1">
      <c r="A38" s="3696"/>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71" t="s">
        <v>1322</v>
      </c>
      <c r="B45" s="3672"/>
      <c r="C45" s="3673"/>
      <c r="D45" s="155" t="e">
        <f ca="1">ROUND(H101*F45,0)</f>
        <v>#REF!</v>
      </c>
      <c r="E45" s="156" t="s">
        <v>1323</v>
      </c>
      <c r="F45" s="157">
        <v>1</v>
      </c>
      <c r="G45" s="158" t="s">
        <v>1324</v>
      </c>
      <c r="H45" s="129"/>
      <c r="I45" s="129"/>
      <c r="J45" s="3749" t="s">
        <v>1325</v>
      </c>
      <c r="K45" s="3749"/>
      <c r="L45" s="3749"/>
      <c r="M45" s="3749"/>
      <c r="N45" s="3749"/>
      <c r="O45" s="3749"/>
    </row>
    <row r="46" spans="1:15" ht="14.25" customHeight="1">
      <c r="A46" s="3668" t="s">
        <v>1326</v>
      </c>
      <c r="B46" s="3669"/>
      <c r="C46" s="3669"/>
      <c r="D46" s="3669"/>
      <c r="E46" s="3669"/>
      <c r="F46" s="3669"/>
      <c r="G46" s="3670"/>
      <c r="H46" s="1806"/>
      <c r="I46" s="159"/>
      <c r="J46" s="2520">
        <v>1</v>
      </c>
      <c r="K46" s="3730" t="s">
        <v>1327</v>
      </c>
      <c r="L46" s="3730"/>
      <c r="M46" s="3750"/>
      <c r="N46" s="3750"/>
      <c r="O46" s="3750"/>
    </row>
    <row r="47" spans="1:15" ht="12" customHeight="1">
      <c r="A47" s="160" t="s">
        <v>1328</v>
      </c>
      <c r="B47" s="161"/>
      <c r="C47" s="162"/>
      <c r="D47" s="1087" t="s">
        <v>1329</v>
      </c>
      <c r="E47" s="302" t="s">
        <v>1330</v>
      </c>
      <c r="F47" s="163" t="s">
        <v>1331</v>
      </c>
      <c r="G47" s="2543" t="s">
        <v>1332</v>
      </c>
      <c r="H47" s="2544"/>
      <c r="I47" s="159"/>
      <c r="J47" s="2520">
        <v>2</v>
      </c>
      <c r="K47" s="3730" t="s">
        <v>1333</v>
      </c>
      <c r="L47" s="3730"/>
      <c r="M47" s="3751">
        <f>'数据-取费表'!B2</f>
        <v>44991</v>
      </c>
      <c r="N47" s="3751"/>
      <c r="O47" s="3751"/>
    </row>
    <row r="48" spans="1:15" ht="25.5">
      <c r="A48" s="3699" t="s">
        <v>1334</v>
      </c>
      <c r="B48" s="3682"/>
      <c r="C48" s="3682"/>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730" t="s">
        <v>1336</v>
      </c>
      <c r="L48" s="3730"/>
      <c r="M48" s="3752" t="e">
        <f ca="1">H101</f>
        <v>#REF!</v>
      </c>
      <c r="N48" s="3752"/>
      <c r="O48" s="3752"/>
    </row>
    <row r="49" spans="1:35" ht="25.5" customHeight="1">
      <c r="A49" s="2331" t="s">
        <v>1337</v>
      </c>
      <c r="B49" s="3666" t="s">
        <v>1338</v>
      </c>
      <c r="C49" s="3666"/>
      <c r="D49" s="1590">
        <v>0</v>
      </c>
      <c r="E49" s="324" t="s">
        <v>1339</v>
      </c>
      <c r="F49" s="2421" t="s">
        <v>24</v>
      </c>
      <c r="G49" s="3736"/>
      <c r="H49" s="2308" t="s">
        <v>2126</v>
      </c>
      <c r="I49" s="2309"/>
      <c r="J49" s="2520">
        <v>4</v>
      </c>
      <c r="K49" s="3730" t="str">
        <f>IF(项目基本情况!E8="房地产抵押价值","房地产抵押价值","抵押担保权已注销时的房地产抵押价值")</f>
        <v>抵押担保权已注销时的房地产抵押价值</v>
      </c>
      <c r="L49" s="3730"/>
      <c r="M49" s="3752" t="str">
        <f>IF(项目基本情况!E8="房地产抵押价值",H107,H109)</f>
        <v>——</v>
      </c>
      <c r="N49" s="3752"/>
      <c r="O49" s="3752"/>
    </row>
    <row r="50" spans="1:35" ht="25.5" customHeight="1">
      <c r="A50" s="2548"/>
      <c r="B50" s="3666" t="s">
        <v>1340</v>
      </c>
      <c r="C50" s="3666"/>
      <c r="D50" s="2549"/>
      <c r="E50" s="332"/>
      <c r="F50" s="2421"/>
      <c r="G50" s="3737"/>
      <c r="H50" s="2310" t="s">
        <v>2127</v>
      </c>
      <c r="I50" s="2309"/>
      <c r="J50" s="3749" t="s">
        <v>1341</v>
      </c>
      <c r="K50" s="3749"/>
      <c r="L50" s="3749"/>
      <c r="M50" s="3749"/>
      <c r="N50" s="3749"/>
      <c r="O50" s="3749"/>
    </row>
    <row r="51" spans="1:35" ht="20.45" customHeight="1">
      <c r="A51" s="2550"/>
      <c r="B51" s="3666" t="s">
        <v>1342</v>
      </c>
      <c r="C51" s="3666"/>
      <c r="D51" s="1087"/>
      <c r="E51" s="327"/>
      <c r="F51" s="2421"/>
      <c r="G51" s="3738"/>
      <c r="H51" s="2310" t="s">
        <v>2128</v>
      </c>
      <c r="I51" s="2309"/>
      <c r="J51" s="2521" t="s">
        <v>1343</v>
      </c>
      <c r="K51" s="3730" t="s">
        <v>1344</v>
      </c>
      <c r="L51" s="3730"/>
      <c r="M51" s="2521" t="s">
        <v>1345</v>
      </c>
      <c r="N51" s="2521" t="s">
        <v>1346</v>
      </c>
      <c r="O51" s="2521" t="s">
        <v>1347</v>
      </c>
    </row>
    <row r="52" spans="1:35" ht="24" customHeight="1">
      <c r="A52" s="2333" t="s">
        <v>1348</v>
      </c>
      <c r="B52" s="3666" t="s">
        <v>1349</v>
      </c>
      <c r="C52" s="3666"/>
      <c r="D52" s="1087" t="e">
        <f ca="1">ROUND(D45*'数据-取费表'!B41/(1+'数据-取费表'!C42),0)</f>
        <v>#REF!</v>
      </c>
      <c r="E52" s="2332" t="s">
        <v>1350</v>
      </c>
      <c r="F52" s="2551">
        <f>'数据-取费表'!B41</f>
        <v>5.6000000000000001E-2</v>
      </c>
      <c r="G52" s="2552"/>
      <c r="H52" s="2541"/>
      <c r="I52" s="1807"/>
      <c r="J52" s="2520">
        <v>1</v>
      </c>
      <c r="K52" s="3731" t="s">
        <v>1351</v>
      </c>
      <c r="L52" s="3731"/>
      <c r="M52" s="2522" t="b">
        <f>D48</f>
        <v>0</v>
      </c>
      <c r="N52" s="2520" t="str">
        <f>E48</f>
        <v>销售额×税（费）率</v>
      </c>
      <c r="O52" s="2523">
        <f>F48</f>
        <v>5.6000000000000001E-2</v>
      </c>
    </row>
    <row r="53" spans="1:35" ht="12" customHeight="1">
      <c r="A53" s="2333" t="s">
        <v>1352</v>
      </c>
      <c r="B53" s="3692" t="s">
        <v>2283</v>
      </c>
      <c r="C53" s="3693"/>
      <c r="D53" s="1087" t="e">
        <f ca="1">ROUND(D45*'数据-取费表'!B41/(1+'数据-取费表'!C42),0)</f>
        <v>#REF!</v>
      </c>
      <c r="E53" s="2332" t="s">
        <v>1350</v>
      </c>
      <c r="F53" s="2551">
        <f>'数据-取费表'!B41</f>
        <v>5.6000000000000001E-2</v>
      </c>
      <c r="G53" s="2552"/>
      <c r="H53" s="2541"/>
      <c r="I53" s="1807"/>
      <c r="J53" s="2520">
        <v>2</v>
      </c>
      <c r="K53" s="3731" t="s">
        <v>1353</v>
      </c>
      <c r="L53" s="3731"/>
      <c r="M53" s="2522" t="e">
        <f t="shared" ref="M53:O54" ca="1" si="0">D55</f>
        <v>#REF!</v>
      </c>
      <c r="N53" s="2520" t="str">
        <f t="shared" si="0"/>
        <v>销售额×税（费）率</v>
      </c>
      <c r="O53" s="2523" t="str">
        <f t="shared" si="0"/>
        <v>免征</v>
      </c>
    </row>
    <row r="54" spans="1:35" ht="12" customHeight="1">
      <c r="A54" s="2333" t="s">
        <v>1354</v>
      </c>
      <c r="B54" s="3692" t="s">
        <v>2284</v>
      </c>
      <c r="C54" s="3693"/>
      <c r="D54" s="1087" t="e">
        <f ca="1">C68</f>
        <v>#REF!</v>
      </c>
      <c r="E54" s="327" t="s">
        <v>1355</v>
      </c>
      <c r="F54" s="2551">
        <f>'数据-取费表'!B41</f>
        <v>5.6000000000000001E-2</v>
      </c>
      <c r="G54" s="2552"/>
      <c r="H54" s="2553"/>
      <c r="I54" s="1807"/>
      <c r="J54" s="2520">
        <v>3</v>
      </c>
      <c r="K54" s="3731" t="s">
        <v>1356</v>
      </c>
      <c r="L54" s="3731"/>
      <c r="M54" s="2522" t="e">
        <f t="shared" ca="1" si="0"/>
        <v>#REF!</v>
      </c>
      <c r="N54" s="2520" t="str">
        <f t="shared" si="0"/>
        <v>增值额×税（费）率</v>
      </c>
      <c r="O54" s="2524" t="str">
        <f t="shared" si="0"/>
        <v>免征</v>
      </c>
    </row>
    <row r="55" spans="1:35" ht="24" customHeight="1">
      <c r="A55" s="3681" t="s">
        <v>1357</v>
      </c>
      <c r="B55" s="3682"/>
      <c r="C55" s="3682"/>
      <c r="D55" s="2322" t="e">
        <f ca="1">IF(H55="个人住宅",0,ROUND(D45*I55,0))</f>
        <v>#REF!</v>
      </c>
      <c r="E55" s="2332" t="s">
        <v>1358</v>
      </c>
      <c r="F55" s="2551" t="str">
        <f>IF(H55="正常",I55,"免征")</f>
        <v>免征</v>
      </c>
      <c r="G55" s="2552"/>
      <c r="H55" s="2547"/>
      <c r="I55" s="165">
        <f>'数据-取费表'!B49</f>
        <v>5.0000000000000001E-4</v>
      </c>
      <c r="J55" s="2520">
        <f>IF(H59="非个人房产","",4)</f>
        <v>4</v>
      </c>
      <c r="K55" s="3731" t="str">
        <f>IF(H59="非个人房产","——","个人所得税")</f>
        <v>个人所得税</v>
      </c>
      <c r="L55" s="3731"/>
      <c r="M55" s="2525" t="e">
        <f ca="1">D59</f>
        <v>#REF!</v>
      </c>
      <c r="N55" s="2038" t="str">
        <f>E59</f>
        <v>差额计税</v>
      </c>
      <c r="O55" s="2526">
        <f>F59</f>
        <v>0.01</v>
      </c>
    </row>
    <row r="56" spans="1:35" ht="24.75">
      <c r="A56" s="3681" t="s">
        <v>1359</v>
      </c>
      <c r="B56" s="3682"/>
      <c r="C56" s="3682"/>
      <c r="D56" s="2322" t="e">
        <f ca="1">IF(H56="个人住宅",D57,D58)</f>
        <v>#REF!</v>
      </c>
      <c r="E56" s="2332" t="s">
        <v>1360</v>
      </c>
      <c r="F56" s="2551" t="str">
        <f>IF(H56="正常",F58,"免征")</f>
        <v>免征</v>
      </c>
      <c r="G56" s="2554" t="s">
        <v>1361</v>
      </c>
      <c r="H56" s="2555"/>
      <c r="I56" s="1808"/>
      <c r="J56" s="2520" t="str">
        <f>IF(项目基本情况!K6="上海银行",IF(J55="",4,J55+1),"")</f>
        <v/>
      </c>
      <c r="K56" s="3754" t="str">
        <f>IF(项目基本情况!K6="上海银行","其他处置费用","")</f>
        <v/>
      </c>
      <c r="L56" s="3755"/>
      <c r="M56" s="2522" t="str">
        <f>IF(项目基本情况!K6="上海银行",M69,"")</f>
        <v/>
      </c>
      <c r="N56" s="3754" t="str">
        <f>IF(项目基本情况!K6="上海银行","包含处置中涉及的律师、诉讼、拍卖、评估等费用","")</f>
        <v/>
      </c>
      <c r="O56" s="3757"/>
    </row>
    <row r="57" spans="1:35" ht="12.75">
      <c r="A57" s="2333" t="s">
        <v>1337</v>
      </c>
      <c r="B57" s="3692" t="s">
        <v>1362</v>
      </c>
      <c r="C57" s="3693"/>
      <c r="D57" s="1590">
        <v>0</v>
      </c>
      <c r="E57" s="324" t="s">
        <v>1339</v>
      </c>
      <c r="F57" s="302"/>
      <c r="G57" s="2552"/>
      <c r="H57" s="2556"/>
      <c r="I57" s="1808"/>
      <c r="J57" s="3731">
        <f>IF(AND(J55="",J56=""),4,IF(项目基本情况!K6="上海银行",结果表!J56+1,结果表!J55+1))</f>
        <v>5</v>
      </c>
      <c r="K57" s="3731" t="s">
        <v>1363</v>
      </c>
      <c r="L57" s="2527" t="s">
        <v>1364</v>
      </c>
      <c r="M57" s="2528"/>
      <c r="N57" s="2529">
        <f ca="1">SUMIF(M52:M56,"&lt;9e307")</f>
        <v>0</v>
      </c>
      <c r="O57" s="2530"/>
      <c r="P57" s="2687" t="e">
        <f ca="1">N57/M49</f>
        <v>#VALUE!</v>
      </c>
    </row>
    <row r="58" spans="1:35" ht="24.75">
      <c r="A58" s="2333" t="s">
        <v>1348</v>
      </c>
      <c r="B58" s="3692" t="s">
        <v>1365</v>
      </c>
      <c r="C58" s="3666"/>
      <c r="D58" s="2322" t="e">
        <f ca="1">IF(H58="转让取得",C81,C97)</f>
        <v>#REF!</v>
      </c>
      <c r="E58" s="2332" t="s">
        <v>1360</v>
      </c>
      <c r="F58" s="302" t="s">
        <v>24</v>
      </c>
      <c r="G58" s="2552"/>
      <c r="H58" s="2555"/>
      <c r="I58" s="1808"/>
      <c r="J58" s="3731"/>
      <c r="K58" s="3731"/>
      <c r="L58" s="2527" t="s">
        <v>1366</v>
      </c>
      <c r="M58" s="2531"/>
      <c r="N58" s="2532" t="str">
        <f ca="1">NUMBERSTRING(INT(N57*10000),2)&amp;"元整"</f>
        <v>零元整</v>
      </c>
      <c r="O58" s="2533"/>
    </row>
    <row r="59" spans="1:35" ht="24.75" thickBot="1">
      <c r="A59" s="3734" t="s">
        <v>1367</v>
      </c>
      <c r="B59" s="3735"/>
      <c r="C59" s="3735"/>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732">
        <f>J57+1</f>
        <v>6</v>
      </c>
      <c r="K59" s="3731" t="s">
        <v>1368</v>
      </c>
      <c r="L59" s="2520" t="s">
        <v>1364</v>
      </c>
      <c r="M59" s="2534"/>
      <c r="N59" s="2535" t="e">
        <f ca="1">M49-N57</f>
        <v>#VALUE!</v>
      </c>
      <c r="O59" s="2536"/>
    </row>
    <row r="60" spans="1:35" ht="12" customHeight="1">
      <c r="A60" s="1809"/>
      <c r="B60" s="1747"/>
      <c r="C60" s="1747"/>
      <c r="D60" s="1747"/>
      <c r="E60" s="1578"/>
      <c r="F60" s="1808"/>
      <c r="G60" s="1808"/>
      <c r="H60" s="1810"/>
      <c r="I60" s="129"/>
      <c r="J60" s="3733"/>
      <c r="K60" s="3731"/>
      <c r="L60" s="2527" t="s">
        <v>1366</v>
      </c>
      <c r="M60" s="2531"/>
      <c r="N60" s="2532" t="e">
        <f ca="1">NUMBERSTRING(INT(N59*10000),2)&amp;"元整"</f>
        <v>#VALUE!</v>
      </c>
      <c r="O60" s="2533"/>
    </row>
    <row r="61" spans="1:35" ht="13.5" thickBot="1">
      <c r="A61" s="3679" t="s">
        <v>1369</v>
      </c>
      <c r="B61" s="3679"/>
      <c r="C61" s="3679"/>
      <c r="D61" s="3679"/>
      <c r="E61" s="3679"/>
      <c r="F61" s="1808"/>
      <c r="G61" s="1808"/>
      <c r="H61" s="1810"/>
      <c r="I61" s="129"/>
      <c r="J61" s="2520">
        <f>J59+1</f>
        <v>7</v>
      </c>
      <c r="K61" s="3731" t="s">
        <v>1370</v>
      </c>
      <c r="L61" s="3731"/>
      <c r="M61" s="2537"/>
      <c r="N61" s="2538" t="e">
        <f ca="1">ROUND(N59*10000/'数据-汇总表'!E3,0)</f>
        <v>#VALUE!</v>
      </c>
      <c r="O61" s="2539"/>
    </row>
    <row r="62" spans="1:35" ht="12.75">
      <c r="A62" s="3697" t="s">
        <v>1371</v>
      </c>
      <c r="B62" s="3698"/>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756"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756"/>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756"/>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756"/>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756"/>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756"/>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56"/>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18" t="s">
        <v>1390</v>
      </c>
      <c r="B70" s="3719"/>
      <c r="C70" s="3719"/>
      <c r="D70" s="3719"/>
      <c r="E70" s="3719"/>
      <c r="F70" s="3719"/>
      <c r="G70" s="3719"/>
      <c r="H70" s="3719"/>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7" t="s">
        <v>1371</v>
      </c>
      <c r="B71" s="3698"/>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2" t="s">
        <v>1398</v>
      </c>
      <c r="F76" s="3666"/>
      <c r="G76" s="3666"/>
      <c r="H76" s="37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76" t="s">
        <v>1402</v>
      </c>
      <c r="F78" s="3677"/>
      <c r="G78" s="3677"/>
      <c r="H78" s="36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18" t="s">
        <v>1406</v>
      </c>
      <c r="B83" s="3719"/>
      <c r="C83" s="3719"/>
      <c r="D83" s="3719"/>
      <c r="E83" s="3719"/>
      <c r="F83" s="3719"/>
      <c r="G83" s="3719"/>
      <c r="H83" s="37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7" t="s">
        <v>1371</v>
      </c>
      <c r="B84" s="3698"/>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758" t="s">
        <v>2121</v>
      </c>
      <c r="H90" s="3759"/>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76" t="s">
        <v>1415</v>
      </c>
      <c r="F91" s="3677"/>
      <c r="G91" s="367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76" t="s">
        <v>1418</v>
      </c>
      <c r="F92" s="3677"/>
      <c r="G92" s="3677"/>
      <c r="H92" s="3686"/>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76" t="s">
        <v>1402</v>
      </c>
      <c r="F93" s="3677"/>
      <c r="G93" s="3677"/>
      <c r="H93" s="36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687" t="s">
        <v>1422</v>
      </c>
      <c r="F94" s="3688"/>
      <c r="G94" s="3688"/>
      <c r="H94" s="368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60" t="s">
        <v>1424</v>
      </c>
      <c r="B100" s="3661"/>
      <c r="C100" s="3661"/>
      <c r="D100" s="3678"/>
      <c r="E100" s="3661" t="s">
        <v>1425</v>
      </c>
      <c r="F100" s="3661"/>
      <c r="G100" s="3661"/>
      <c r="H100" s="3678"/>
      <c r="I100" s="129"/>
    </row>
    <row r="101" spans="1:35" ht="18.75" customHeight="1">
      <c r="A101" s="3739" t="s">
        <v>1426</v>
      </c>
      <c r="B101" s="3740"/>
      <c r="C101" s="2582" t="str">
        <f>C4</f>
        <v>比较法-住宅</v>
      </c>
      <c r="D101" s="2583" t="str">
        <f>D4</f>
        <v>收益法 (元)</v>
      </c>
      <c r="E101" s="3753" t="s">
        <v>1427</v>
      </c>
      <c r="F101" s="3710"/>
      <c r="G101" s="1827" t="s">
        <v>1428</v>
      </c>
      <c r="H101" s="2592" t="e">
        <f ca="1">H118</f>
        <v>#REF!</v>
      </c>
      <c r="I101" s="129"/>
    </row>
    <row r="102" spans="1:35" ht="18.75" customHeight="1">
      <c r="A102" s="3712" t="s">
        <v>1429</v>
      </c>
      <c r="B102" s="2581" t="s">
        <v>1428</v>
      </c>
      <c r="C102" s="2582">
        <f ca="1">IF(D32="楼面单价",ROUND(C19,0),C19)</f>
        <v>0</v>
      </c>
      <c r="D102" s="2583" t="e">
        <f ca="1">IF(D32="楼面单价",ROUND(D19,0),D19)</f>
        <v>#DIV/0!</v>
      </c>
      <c r="E102" s="3753"/>
      <c r="F102" s="3710"/>
      <c r="G102" s="1827" t="s">
        <v>1430</v>
      </c>
      <c r="H102" s="2552" t="e">
        <f ca="1">I118</f>
        <v>#REF!</v>
      </c>
      <c r="I102" s="129"/>
    </row>
    <row r="103" spans="1:35" ht="42.75" customHeight="1">
      <c r="A103" s="3712"/>
      <c r="B103" s="2581" t="s">
        <v>1430</v>
      </c>
      <c r="C103" s="2584">
        <f ca="1">C20</f>
        <v>120440</v>
      </c>
      <c r="D103" s="2585">
        <f ca="1">D20</f>
        <v>0</v>
      </c>
      <c r="E103" s="3747" t="s">
        <v>1431</v>
      </c>
      <c r="F103" s="3748"/>
      <c r="G103" s="1828" t="s">
        <v>1432</v>
      </c>
      <c r="H103" s="2592">
        <f>IF(D36="正常操作",H104+H105+H106,H105+H106)</f>
        <v>0</v>
      </c>
      <c r="I103" s="129"/>
    </row>
    <row r="104" spans="1:35" ht="18.75" customHeight="1">
      <c r="A104" s="3712"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713"/>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709" t="str">
        <f>IF(项目基本情况!E8="已注销","——","3.房地产抵押价值")</f>
        <v>3.房地产抵押价值</v>
      </c>
      <c r="F107" s="3710"/>
      <c r="G107" s="1827" t="s">
        <v>1428</v>
      </c>
      <c r="H107" s="2592" t="e">
        <f ca="1">IF(E107="——","——",H101-H103)</f>
        <v>#REF!</v>
      </c>
      <c r="I107" s="129"/>
    </row>
    <row r="108" spans="1:35" ht="18.75" customHeight="1">
      <c r="A108" s="129"/>
      <c r="B108" s="129"/>
      <c r="C108" s="129"/>
      <c r="D108" s="129"/>
      <c r="E108" s="3709"/>
      <c r="F108" s="3710"/>
      <c r="G108" s="1827" t="s">
        <v>1430</v>
      </c>
      <c r="H108" s="2552">
        <f ca="1">IF(H107=H101,H102,ROUND(H107*10000/'数据-汇总表'!E3,0))</f>
        <v>0</v>
      </c>
      <c r="I108" s="129"/>
    </row>
    <row r="109" spans="1:35" ht="18.75" customHeight="1">
      <c r="A109" s="129"/>
      <c r="B109" s="129"/>
      <c r="C109" s="129"/>
      <c r="D109" s="129"/>
      <c r="E109" s="3709" t="str">
        <f>IF(项目基本情况!E8="已注销及未注销","4.抵押担保权已注销时的房地产抵押价值",IF(项目基本情况!E8="已注销","3.抵押担保权已注销时的房地产抵押价值","——"))</f>
        <v>——</v>
      </c>
      <c r="F109" s="3710"/>
      <c r="G109" s="1827" t="s">
        <v>1428</v>
      </c>
      <c r="H109" s="2595" t="str">
        <f>IF(E109="——","——",H101-H105-H106)</f>
        <v>——</v>
      </c>
      <c r="I109" s="129"/>
    </row>
    <row r="110" spans="1:35" ht="18.75" customHeight="1">
      <c r="A110" s="129"/>
      <c r="B110" s="129"/>
      <c r="C110" s="129"/>
      <c r="D110" s="129"/>
      <c r="E110" s="3709"/>
      <c r="F110" s="3710"/>
      <c r="G110" s="1827" t="s">
        <v>1430</v>
      </c>
      <c r="H110" s="2552" t="str">
        <f>IF(H109="——","——",ROUND(H109*10000/'数据-汇总表'!E3,0))</f>
        <v>——</v>
      </c>
      <c r="I110" s="129"/>
    </row>
    <row r="111" spans="1:35" ht="18.75" customHeight="1">
      <c r="A111" s="129"/>
      <c r="B111" s="129"/>
      <c r="C111" s="129"/>
      <c r="D111" s="129"/>
      <c r="E111" s="3741" t="str">
        <f>IF(项目基本情况!E9="抵押净值",IF(OR(项目基本情况!E8="已注销",项目基本情况!E8="房地产抵押价值"),"4.抵押净值","5.抵押净值"),"——")</f>
        <v>——</v>
      </c>
      <c r="F111" s="3711"/>
      <c r="G111" s="1827" t="s">
        <v>1428</v>
      </c>
      <c r="H111" s="2592" t="str">
        <f>IF(E111="——","——",N59)</f>
        <v>——</v>
      </c>
      <c r="I111" s="129"/>
    </row>
    <row r="112" spans="1:35" ht="18.75" customHeight="1" thickBot="1">
      <c r="A112" s="129"/>
      <c r="B112" s="129"/>
      <c r="C112" s="129"/>
      <c r="D112" s="129"/>
      <c r="E112" s="3742"/>
      <c r="F112" s="3743"/>
      <c r="G112" s="1830" t="s">
        <v>1430</v>
      </c>
      <c r="H112" s="2596" t="str">
        <f>IF(E111="——","——",N61)</f>
        <v>——</v>
      </c>
      <c r="I112" s="129"/>
    </row>
    <row r="113" spans="1:27" ht="18.75" customHeight="1">
      <c r="A113" s="129"/>
      <c r="B113" s="129"/>
      <c r="C113" s="129"/>
      <c r="D113" s="129"/>
      <c r="E113" s="3714" t="s">
        <v>1436</v>
      </c>
      <c r="F113" s="3714"/>
      <c r="G113" s="3714"/>
      <c r="H113" s="3714"/>
      <c r="I113" s="129"/>
    </row>
    <row r="114" spans="1:27" ht="3.75" customHeight="1">
      <c r="A114" s="1747"/>
      <c r="B114" s="1747"/>
      <c r="C114" s="1747"/>
      <c r="D114" s="1747"/>
      <c r="E114" s="1809"/>
      <c r="F114" s="1809"/>
      <c r="G114" s="1809"/>
      <c r="H114" s="1809"/>
      <c r="I114" s="1747"/>
    </row>
    <row r="115" spans="1:27" ht="18.75" customHeight="1">
      <c r="A115" s="3724" t="s">
        <v>1438</v>
      </c>
      <c r="B115" s="3725"/>
      <c r="C115" s="3725"/>
      <c r="D115" s="3725"/>
      <c r="E115" s="3725"/>
      <c r="F115" s="3725"/>
      <c r="G115" s="3725"/>
      <c r="H115" s="3725"/>
      <c r="I115" s="3726"/>
    </row>
    <row r="116" spans="1:27" ht="27" customHeight="1">
      <c r="A116" s="3680" t="s">
        <v>1439</v>
      </c>
      <c r="B116" s="3715" t="s">
        <v>1440</v>
      </c>
      <c r="C116" s="3715" t="s">
        <v>1441</v>
      </c>
      <c r="D116" s="3728" t="s">
        <v>1442</v>
      </c>
      <c r="E116" s="3729"/>
      <c r="F116" s="3723" t="s">
        <v>1443</v>
      </c>
      <c r="G116" s="3723"/>
      <c r="H116" s="3680" t="s">
        <v>1444</v>
      </c>
      <c r="I116" s="3680"/>
    </row>
    <row r="117" spans="1:27" ht="18.75" customHeight="1">
      <c r="A117" s="3680"/>
      <c r="B117" s="3716"/>
      <c r="C117" s="3716"/>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0</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80" t="s">
        <v>1448</v>
      </c>
      <c r="B119" s="3680"/>
      <c r="C119" s="3680"/>
      <c r="D119" s="3720" t="e">
        <f ca="1">NUMBERSTRING(INT(D118*10000),2)&amp;"元整"</f>
        <v>#REF!</v>
      </c>
      <c r="E119" s="3722"/>
      <c r="F119" s="3720" t="e">
        <f ca="1">NUMBERSTRING(INT(F118*10000),2)&amp;"元整"</f>
        <v>#REF!</v>
      </c>
      <c r="G119" s="3722"/>
      <c r="H119" s="3720" t="e">
        <f ca="1">NUMBERSTRING(INT(H118*10000),2)&amp;"元整"</f>
        <v>#REF!</v>
      </c>
      <c r="I119" s="3722"/>
    </row>
    <row r="120" spans="1:27" ht="18.75" customHeight="1">
      <c r="A120" s="3744" t="str">
        <f>IF(项目基本情况!B9="房地产市场价值","",MID(E103,3,LEN(E103)-2))</f>
        <v/>
      </c>
      <c r="B120" s="3745"/>
      <c r="C120" s="3746"/>
      <c r="D120" s="3744">
        <f>H103</f>
        <v>0</v>
      </c>
      <c r="E120" s="3745"/>
      <c r="F120" s="3745"/>
      <c r="G120" s="3745"/>
      <c r="H120" s="3745"/>
      <c r="I120" s="374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20" t="s">
        <v>1448</v>
      </c>
      <c r="B121" s="3721"/>
      <c r="C121" s="3722"/>
      <c r="D121" s="3720" t="str">
        <f>IF(D120=0,"零元整",NUMBERSTRING(INT(D120*10000),2)&amp;"元整")</f>
        <v>零元整</v>
      </c>
      <c r="E121" s="3721"/>
      <c r="F121" s="3721"/>
      <c r="G121" s="3721"/>
      <c r="H121" s="3721"/>
      <c r="I121" s="3722"/>
      <c r="AA121" s="725"/>
    </row>
    <row r="122" spans="1:27" ht="18.75" customHeight="1">
      <c r="A122" s="3711" t="str">
        <f>IF(项目基本情况!B9="房地产市场价值","",MID(E107,3,LEN(E107)-2))</f>
        <v/>
      </c>
      <c r="B122" s="3711"/>
      <c r="C122" s="3711"/>
      <c r="D122" s="3744" t="e">
        <f ca="1">H107</f>
        <v>#REF!</v>
      </c>
      <c r="E122" s="3745"/>
      <c r="F122" s="3745"/>
      <c r="G122" s="3745"/>
      <c r="H122" s="3745"/>
      <c r="I122" s="3746"/>
      <c r="AA122" s="725"/>
    </row>
    <row r="123" spans="1:27" ht="18.75" customHeight="1">
      <c r="A123" s="3680" t="s">
        <v>1448</v>
      </c>
      <c r="B123" s="3680"/>
      <c r="C123" s="3680"/>
      <c r="D123" s="3720" t="e">
        <f ca="1">NUMBERSTRING(INT(D122*10000),2)&amp;"元整"</f>
        <v>#REF!</v>
      </c>
      <c r="E123" s="3721"/>
      <c r="F123" s="3721"/>
      <c r="G123" s="3721"/>
      <c r="H123" s="3721"/>
      <c r="I123" s="3722"/>
      <c r="AA123" s="725"/>
    </row>
    <row r="124" spans="1:27" ht="18.75" customHeight="1">
      <c r="A124" s="3711" t="str">
        <f>IF(项目基本情况!B9="房地产市场价值","",MID(E109,3,LEN(E109)-2))</f>
        <v/>
      </c>
      <c r="B124" s="3711"/>
      <c r="C124" s="3711"/>
      <c r="D124" s="3744" t="str">
        <f>H109</f>
        <v>——</v>
      </c>
      <c r="E124" s="3745"/>
      <c r="F124" s="3745"/>
      <c r="G124" s="3745"/>
      <c r="H124" s="3745"/>
      <c r="I124" s="3746"/>
      <c r="AA124" s="725"/>
    </row>
    <row r="125" spans="1:27" ht="18.75" customHeight="1">
      <c r="A125" s="3680" t="s">
        <v>1448</v>
      </c>
      <c r="B125" s="3680"/>
      <c r="C125" s="3680"/>
      <c r="D125" s="3720" t="e">
        <f>NUMBERSTRING(INT(D124*10000),2)&amp;"元整"</f>
        <v>#VALUE!</v>
      </c>
      <c r="E125" s="3721"/>
      <c r="F125" s="3721"/>
      <c r="G125" s="3721"/>
      <c r="H125" s="3721"/>
      <c r="I125" s="3722"/>
      <c r="AA125" s="725"/>
    </row>
    <row r="126" spans="1:27" ht="18.75" customHeight="1">
      <c r="A126" s="3711" t="str">
        <f>IF(项目基本情况!B9="房地产市场价值","",MID(E111,3,LEN(E111)-2))</f>
        <v/>
      </c>
      <c r="B126" s="3711"/>
      <c r="C126" s="3711"/>
      <c r="D126" s="3744" t="str">
        <f>H111</f>
        <v>——</v>
      </c>
      <c r="E126" s="3745"/>
      <c r="F126" s="3745"/>
      <c r="G126" s="3745"/>
      <c r="H126" s="3745"/>
      <c r="I126" s="3746"/>
      <c r="AA126" s="725"/>
    </row>
    <row r="127" spans="1:27" ht="18.75" customHeight="1">
      <c r="A127" s="3680" t="s">
        <v>1448</v>
      </c>
      <c r="B127" s="3680"/>
      <c r="C127" s="3680"/>
      <c r="D127" s="3720" t="e">
        <f>NUMBERSTRING(INT(D126*10000),2)&amp;"元整"</f>
        <v>#VALUE!</v>
      </c>
      <c r="E127" s="3721"/>
      <c r="F127" s="3721"/>
      <c r="G127" s="3721"/>
      <c r="H127" s="3721"/>
      <c r="I127" s="3722"/>
      <c r="AA127" s="725"/>
    </row>
    <row r="128" spans="1:27" ht="21.75" customHeight="1">
      <c r="A128" s="3727" t="s">
        <v>1449</v>
      </c>
      <c r="B128" s="3727"/>
      <c r="C128" s="3727"/>
      <c r="D128" s="3727"/>
      <c r="E128" s="3727"/>
      <c r="F128" s="3727"/>
      <c r="G128" s="3727"/>
      <c r="H128" s="3727"/>
      <c r="I128" s="3727"/>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0</v>
      </c>
      <c r="D9" s="845">
        <f ca="1">IF(B1="",'数据-汇总表'!E5,IF(INDIRECT("'数据-取费表'!c"&amp;$G$1)="住宅",INDIRECT("'数据-取费表'!k"&amp;$G$1),0))</f>
        <v>0</v>
      </c>
      <c r="E9" s="225">
        <f>'数据-取费表'!B27</f>
        <v>160</v>
      </c>
      <c r="F9" s="221"/>
      <c r="G9" s="1857"/>
      <c r="H9" s="1137"/>
      <c r="I9" s="1858" t="s">
        <v>1475</v>
      </c>
    </row>
    <row r="10" spans="1:9" s="214" customFormat="1" ht="13.5" customHeight="1">
      <c r="A10" s="779" t="s">
        <v>352</v>
      </c>
      <c r="B10" s="224" t="s">
        <v>1476</v>
      </c>
      <c r="C10" s="225">
        <f ca="1">ROUND(D10*E10/10000,0)</f>
        <v>3</v>
      </c>
      <c r="D10" s="845">
        <f ca="1">IF(B1="",'数据-汇总表'!E6,IF(INDIRECT("'数据-取费表'!c"&amp;$G$1)="住宅",INDIRECT("'数据-取费表'!s"&amp;$G$1),INDIRECT("'数据-取费表'!k"&amp;$G$1)+INDIRECT("'数据-取费表'!s"&amp;$G$1)))</f>
        <v>140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3</v>
      </c>
      <c r="D19" s="849">
        <f ca="1">D9+D10</f>
        <v>140</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3</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3</v>
      </c>
      <c r="D37" s="217">
        <f ca="1">D19</f>
        <v>140</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60" t="s">
        <v>1540</v>
      </c>
    </row>
    <row r="43" spans="1:7" ht="13.5" customHeight="1">
      <c r="A43" s="780" t="s">
        <v>343</v>
      </c>
      <c r="B43" s="215" t="s">
        <v>1541</v>
      </c>
      <c r="C43" s="238">
        <f ca="1">ROUND(IF('数据-取费表'!B22&lt;=1,C39*F22*'数据-取费表'!B21/2,C39*(POWER((1+F22),'数据-取费表'!B21/2)-1)),0)</f>
        <v>0</v>
      </c>
      <c r="D43" s="238"/>
      <c r="E43" s="238"/>
      <c r="F43" s="239"/>
      <c r="G43" s="3761"/>
    </row>
    <row r="44" spans="1:7" ht="13.5" customHeight="1">
      <c r="A44" s="780" t="s">
        <v>344</v>
      </c>
      <c r="B44" s="215" t="s">
        <v>1542</v>
      </c>
      <c r="C44" s="238">
        <f ca="1">ROUND(IF('数据-取费表'!B22&lt;=1,C40*F22*'数据-取费表'!B21/2,C40*(POWER((1+F22),'数据-取费表'!B21/2)-1)),4)</f>
        <v>6.9999999999999999E-4</v>
      </c>
      <c r="D44" s="238"/>
      <c r="E44" s="238"/>
      <c r="F44" s="239"/>
      <c r="G44" s="3762"/>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19"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28000</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28000</v>
      </c>
      <c r="D8" s="222"/>
      <c r="E8" s="220"/>
      <c r="F8" s="221"/>
      <c r="G8" s="1856"/>
    </row>
    <row r="9" spans="1:8" s="214" customFormat="1" ht="13.5" customHeight="1">
      <c r="A9" s="779" t="s">
        <v>351</v>
      </c>
      <c r="B9" s="224" t="s">
        <v>1474</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352</v>
      </c>
      <c r="B10" s="224" t="s">
        <v>1476</v>
      </c>
      <c r="C10" s="225">
        <f ca="1">ROUND(D10*E10,0)</f>
        <v>28000</v>
      </c>
      <c r="D10" s="845">
        <f ca="1">IF(B1="",'数据-汇总表'!E6,IF(INDIRECT("'数据-取费表'!c"&amp;$G$1)="住宅",INDIRECT("'数据-取费表'!s"&amp;$G$1),INDIRECT("'数据-取费表'!k"&amp;$G$1)+INDIRECT("'数据-取费表'!s"&amp;$G$1)))</f>
        <v>140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28000</v>
      </c>
      <c r="D19" s="849">
        <f ca="1">D9+D10</f>
        <v>140</v>
      </c>
      <c r="E19" s="211">
        <f>'数据-取费表'!B31</f>
        <v>200</v>
      </c>
      <c r="F19" s="231"/>
      <c r="G19" s="1856"/>
    </row>
    <row r="20" spans="1:7" s="214" customFormat="1" ht="13.5" customHeight="1">
      <c r="A20" s="255" t="s">
        <v>1570</v>
      </c>
      <c r="B20" s="210" t="s">
        <v>1571</v>
      </c>
      <c r="C20" s="232">
        <f ca="1">ROUND((C5+C19)*F20,0)</f>
        <v>1120</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4203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2081</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2081</v>
      </c>
      <c r="D24" s="238"/>
      <c r="E24" s="238"/>
      <c r="F24" s="239"/>
      <c r="G24" s="240" t="s">
        <v>1582</v>
      </c>
    </row>
    <row r="25" spans="1:7" s="214" customFormat="1" ht="24">
      <c r="A25" s="780" t="s">
        <v>1472</v>
      </c>
      <c r="B25" s="215" t="s">
        <v>1583</v>
      </c>
      <c r="C25" s="1128">
        <f ca="1">ROUND(IF('数据-取费表'!B22&lt;=1,C20*F22*'数据-取费表'!B22/2,C20*(POWER((1+F22),'数据-取费表'!B22/2)-1)),0)</f>
        <v>41</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28000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28000</v>
      </c>
      <c r="D37" s="217">
        <f ca="1">D19</f>
        <v>140</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560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1042</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1022</v>
      </c>
      <c r="D42" s="238"/>
      <c r="E42" s="238"/>
      <c r="F42" s="239"/>
      <c r="G42" s="3760" t="s">
        <v>1587</v>
      </c>
    </row>
    <row r="43" spans="1:7" ht="13.5" customHeight="1">
      <c r="A43" s="780" t="s">
        <v>343</v>
      </c>
      <c r="B43" s="215" t="s">
        <v>1541</v>
      </c>
      <c r="C43" s="238">
        <f ca="1">ROUND(IF('数据-取费表'!B22&lt;=1,C39*F22*'数据-取费表'!B20/2,C39*(POWER((1+F22),'数据-取费表'!B20/2)-1)),0)</f>
        <v>20</v>
      </c>
      <c r="D43" s="238"/>
      <c r="E43" s="238"/>
      <c r="F43" s="239"/>
      <c r="G43" s="3761"/>
    </row>
    <row r="44" spans="1:7" ht="13.5" customHeight="1">
      <c r="A44" s="780" t="s">
        <v>344</v>
      </c>
      <c r="B44" s="215" t="s">
        <v>1542</v>
      </c>
      <c r="C44" s="238">
        <f ca="1">ROUND(IF('数据-取费表'!B22&lt;=1,C40*F22*'数据-取费表'!B20/2,C40*(POWER((1+F22),'数据-取费表'!B20/2)-1)),4)</f>
        <v>6.9999999999999999E-4</v>
      </c>
      <c r="D44" s="238"/>
      <c r="E44" s="238"/>
      <c r="F44" s="239"/>
      <c r="G44" s="3762"/>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77" t="str">
        <f>项目基本情况!B1</f>
        <v>北京市房地产市场价值预评估</v>
      </c>
      <c r="C37" s="3577"/>
      <c r="D37" s="3577"/>
      <c r="E37" s="3577"/>
      <c r="F37" s="3577"/>
      <c r="G37" s="3577"/>
      <c r="H37" s="3577"/>
      <c r="I37" s="3577"/>
    </row>
    <row r="38" spans="1:9">
      <c r="A38" s="844"/>
      <c r="B38" s="844"/>
    </row>
    <row r="39" spans="1:9">
      <c r="A39" s="842" t="s">
        <v>367</v>
      </c>
      <c r="B39" s="842" t="s">
        <v>369</v>
      </c>
    </row>
    <row r="40" spans="1:9">
      <c r="A40" s="842"/>
      <c r="B40" s="1474">
        <f>项目基本情况!B5</f>
        <v>0</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140</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140</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3</v>
      </c>
      <c r="D18" s="846"/>
      <c r="E18" s="21"/>
      <c r="F18" s="804"/>
      <c r="G18" s="1862"/>
      <c r="H18" s="1187"/>
      <c r="I18" s="1863" t="s">
        <v>1621</v>
      </c>
      <c r="J18" s="807"/>
      <c r="K18" s="808"/>
    </row>
    <row r="19" spans="1:33" s="803" customFormat="1" ht="13.5" customHeight="1">
      <c r="A19" s="800" t="s">
        <v>356</v>
      </c>
      <c r="B19" s="801" t="s">
        <v>1622</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357</v>
      </c>
      <c r="B20" s="801" t="s">
        <v>1623</v>
      </c>
      <c r="C20" s="21">
        <f ca="1">ROUND(D20*E20/10000,0)</f>
        <v>3</v>
      </c>
      <c r="D20" s="846">
        <f ca="1">IF(C1="",'数据-汇总表'!E6,IF(INDIRECT("'数据-取费表'!c"&amp;$K$1)="住宅",INDIRECT("'数据-取费表'!s"&amp;$K$1),INDIRECT("'数据-取费表'!k"&amp;$K$1)+INDIRECT("'数据-取费表'!s"&amp;$K$1)))</f>
        <v>140</v>
      </c>
      <c r="E20" s="21">
        <f>'数据-取费表'!B28</f>
        <v>200</v>
      </c>
      <c r="F20" s="804"/>
      <c r="G20" s="12"/>
      <c r="H20" s="809"/>
      <c r="I20" s="809"/>
      <c r="J20" s="809"/>
      <c r="K20" s="810"/>
    </row>
    <row r="21" spans="1:33" s="803" customFormat="1" ht="13.5" customHeight="1">
      <c r="A21" s="790" t="s">
        <v>353</v>
      </c>
      <c r="B21" s="813" t="s">
        <v>1624</v>
      </c>
      <c r="C21" s="814">
        <f ca="1">C16+C17+C18</f>
        <v>3</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65" t="s">
        <v>690</v>
      </c>
      <c r="C6" s="1074">
        <f ca="1">ROUND(F6*F8*F7*(1-F9)/10000,0)</f>
        <v>0</v>
      </c>
      <c r="D6" s="155" t="s">
        <v>2101</v>
      </c>
      <c r="E6" s="302" t="s">
        <v>692</v>
      </c>
      <c r="F6" s="303">
        <f ca="1">INDIRECT("'数据-取费表'!u"&amp;$G$1)</f>
        <v>0</v>
      </c>
      <c r="G6" s="1384"/>
      <c r="H6" s="1069" t="s">
        <v>394</v>
      </c>
      <c r="I6" s="3765" t="s">
        <v>690</v>
      </c>
      <c r="J6" s="301">
        <f ca="1">ROUND(M6*M8*M7*(1-M9)/10000,0)</f>
        <v>0</v>
      </c>
      <c r="K6" s="155" t="s">
        <v>2100</v>
      </c>
      <c r="L6" s="302" t="s">
        <v>692</v>
      </c>
      <c r="M6" s="303">
        <f ca="1">INDIRECT("'数据-取费表'!z"&amp;$G$1)</f>
        <v>0</v>
      </c>
    </row>
    <row r="7" spans="1:37" ht="18" customHeight="1">
      <c r="A7" s="1073"/>
      <c r="B7" s="3766"/>
      <c r="C7" s="1075"/>
      <c r="D7" s="307"/>
      <c r="E7" s="1076" t="s">
        <v>693</v>
      </c>
      <c r="F7" s="303">
        <f ca="1">IF(INDIRECT("'数据-取费表'!ah"&amp;$G$1)="",INDIRECT("'数据-取费表'!k"&amp;$G$1),INDIRECT("'数据-取费表'!ah"&amp;$G$1))</f>
        <v>0</v>
      </c>
      <c r="G7" s="1384"/>
      <c r="H7" s="304"/>
      <c r="I7" s="3766"/>
      <c r="J7" s="306"/>
      <c r="K7" s="307"/>
      <c r="L7" s="302" t="s">
        <v>693</v>
      </c>
      <c r="M7" s="303">
        <f ca="1">F7</f>
        <v>0</v>
      </c>
    </row>
    <row r="8" spans="1:37" ht="18" customHeight="1">
      <c r="A8" s="304"/>
      <c r="B8" s="3766"/>
      <c r="C8" s="306"/>
      <c r="D8" s="307"/>
      <c r="E8" s="302" t="s">
        <v>694</v>
      </c>
      <c r="F8" s="303">
        <f ca="1">INDIRECT("'数据-取费表'!ai"&amp;$G$1)</f>
        <v>0</v>
      </c>
      <c r="G8" s="1384"/>
      <c r="H8" s="304"/>
      <c r="I8" s="3766"/>
      <c r="J8" s="306"/>
      <c r="K8" s="307"/>
      <c r="L8" s="302" t="s">
        <v>694</v>
      </c>
      <c r="M8" s="303">
        <f ca="1">INDIRECT("'数据-取费表'!ai"&amp;$G$1)</f>
        <v>0</v>
      </c>
    </row>
    <row r="9" spans="1:37" ht="18" customHeight="1">
      <c r="A9" s="304"/>
      <c r="B9" s="3767"/>
      <c r="C9" s="306"/>
      <c r="D9" s="307"/>
      <c r="E9" s="302" t="s">
        <v>695</v>
      </c>
      <c r="F9" s="312">
        <f ca="1">INDIRECT("'数据-取费表'!w"&amp;$G$1)</f>
        <v>0</v>
      </c>
      <c r="G9" s="1384"/>
      <c r="H9" s="304"/>
      <c r="I9" s="3767"/>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IF(项目基本情况!B11="自然人","——",ROUND(C6*F32/(1+'数据-取费表'!C42),2))</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IF(项目基本情况!B11="自然人","——",IF(D33="按租金收入计税",ROUND(C6*F33/(1+'数据-取费表'!C42),2),IF(D33="按房产原值计税",ROUND(C29*F33*0.7,2),INDIRECT("'数据-取费表'!Aj"&amp;$G$1))))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IF(项目基本情况!B11="自然人","——",ROUND(F34*F35/10000,2))</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63" t="s">
        <v>833</v>
      </c>
      <c r="L53" s="3764"/>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IF(项目基本情况!B11="自然人","——",ROUND(C48*F60/(1+'数据-取费表'!C42),2))</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IF(项目基本情况!B11="自然人","——",ROUND(F62*F63/10000,2))</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0"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65" t="s">
        <v>690</v>
      </c>
      <c r="C6" s="1074">
        <f ca="1">ROUND(F6*F8*F7*(1-F9),0)</f>
        <v>0</v>
      </c>
      <c r="D6" s="155" t="s">
        <v>2098</v>
      </c>
      <c r="E6" s="302" t="s">
        <v>692</v>
      </c>
      <c r="F6" s="303">
        <f ca="1">INDIRECT("'数据-取费表'!u"&amp;$G$1)</f>
        <v>0</v>
      </c>
      <c r="G6" s="1384"/>
      <c r="H6" s="1069" t="s">
        <v>394</v>
      </c>
      <c r="I6" s="3765" t="s">
        <v>690</v>
      </c>
      <c r="J6" s="301">
        <f ca="1">ROUND(M6*M8*M7*(1-M9),0)</f>
        <v>0</v>
      </c>
      <c r="K6" s="1376" t="s">
        <v>2099</v>
      </c>
      <c r="L6" s="302" t="s">
        <v>692</v>
      </c>
      <c r="M6" s="303">
        <f ca="1">INDIRECT("'数据-取费表'!z"&amp;$G$1)</f>
        <v>0</v>
      </c>
    </row>
    <row r="7" spans="1:37" ht="18" customHeight="1">
      <c r="A7" s="1073"/>
      <c r="B7" s="3766"/>
      <c r="C7" s="1075"/>
      <c r="D7" s="307"/>
      <c r="E7" s="1076" t="s">
        <v>693</v>
      </c>
      <c r="F7" s="303">
        <f ca="1">IF(INDIRECT("'数据-取费表'!ah"&amp;$G$1)="",INDIRECT("'数据-取费表'!k"&amp;$G$1),INDIRECT("'数据-取费表'!ah"&amp;$G$1))</f>
        <v>0</v>
      </c>
      <c r="G7" s="1384"/>
      <c r="H7" s="304"/>
      <c r="I7" s="3766"/>
      <c r="J7" s="306"/>
      <c r="K7" s="307"/>
      <c r="L7" s="302" t="s">
        <v>693</v>
      </c>
      <c r="M7" s="303">
        <f ca="1">F7</f>
        <v>0</v>
      </c>
    </row>
    <row r="8" spans="1:37" ht="18" customHeight="1">
      <c r="A8" s="304"/>
      <c r="B8" s="3766"/>
      <c r="C8" s="306"/>
      <c r="D8" s="307"/>
      <c r="E8" s="302" t="s">
        <v>694</v>
      </c>
      <c r="F8" s="303">
        <f ca="1">INDIRECT("'数据-取费表'!ai"&amp;$G$1)</f>
        <v>0</v>
      </c>
      <c r="G8" s="1384"/>
      <c r="H8" s="304"/>
      <c r="I8" s="3766"/>
      <c r="J8" s="306"/>
      <c r="K8" s="307"/>
      <c r="L8" s="302" t="s">
        <v>694</v>
      </c>
      <c r="M8" s="303">
        <f ca="1">INDIRECT("'数据-取费表'!ai"&amp;$G$1)</f>
        <v>0</v>
      </c>
    </row>
    <row r="9" spans="1:37" ht="18" customHeight="1">
      <c r="A9" s="304"/>
      <c r="B9" s="3767"/>
      <c r="C9" s="306"/>
      <c r="D9" s="307"/>
      <c r="E9" s="302" t="s">
        <v>695</v>
      </c>
      <c r="F9" s="312">
        <f ca="1">INDIRECT("'数据-取费表'!w"&amp;$G$1)</f>
        <v>0</v>
      </c>
      <c r="G9" s="1384"/>
      <c r="H9" s="304"/>
      <c r="I9" s="3767"/>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IF(项目基本情况!B11="自然人","——",ROUND(C6*F32/(1+'数据-取费表'!C42),0))</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IF(项目基本情况!B11="自然人","——",ROUND(F34*F35,0))</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3352</v>
      </c>
      <c r="B45" s="1400"/>
      <c r="C45" s="1472" t="e">
        <f ca="1">ROUND((C68-C40)/10000,4)</f>
        <v>#DIV/0!</v>
      </c>
      <c r="D45" s="3427"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63" t="s">
        <v>833</v>
      </c>
      <c r="L53" s="3764"/>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IF(项目基本情况!B11="自然人","——",ROUND(C48*F60/(1+'数据-取费表'!C42),0))</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38" t="s">
        <v>3359</v>
      </c>
      <c r="E2" s="3439"/>
      <c r="F2" s="2843"/>
      <c r="G2" s="2844"/>
      <c r="H2" s="2845"/>
      <c r="I2" s="2846"/>
      <c r="J2" s="3774" t="s">
        <v>2313</v>
      </c>
      <c r="K2" s="3775"/>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76" t="s">
        <v>2323</v>
      </c>
      <c r="K3" s="3777"/>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76" t="s">
        <v>2325</v>
      </c>
      <c r="K4" s="3777"/>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82" t="s">
        <v>2329</v>
      </c>
      <c r="B6" s="3783"/>
      <c r="C6" s="3784"/>
      <c r="D6" s="2867"/>
      <c r="E6" s="2868"/>
      <c r="F6" s="2869"/>
      <c r="G6" s="2870"/>
      <c r="H6" s="2845"/>
      <c r="I6" s="2846"/>
      <c r="J6" s="3768">
        <v>1</v>
      </c>
      <c r="K6" s="3769"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68"/>
      <c r="K7" s="3770"/>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85" t="s">
        <v>2343</v>
      </c>
      <c r="C8" s="3786"/>
      <c r="D8" s="2886" t="s">
        <v>2344</v>
      </c>
      <c r="E8" s="2887" t="s">
        <v>2345</v>
      </c>
      <c r="F8" s="2888" t="s">
        <v>2346</v>
      </c>
      <c r="G8" s="2889"/>
      <c r="H8" s="2845"/>
      <c r="I8" s="2846"/>
      <c r="J8" s="3768"/>
      <c r="K8" s="3770"/>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85" t="s">
        <v>2349</v>
      </c>
      <c r="C9" s="3786"/>
      <c r="D9" s="2886">
        <f>ROUND(D6*E9,0)</f>
        <v>0</v>
      </c>
      <c r="E9" s="2890"/>
      <c r="F9" s="2891" t="s">
        <v>2350</v>
      </c>
      <c r="G9" s="2870"/>
      <c r="H9" s="2845"/>
      <c r="I9" s="2846"/>
      <c r="J9" s="3768"/>
      <c r="K9" s="3770"/>
      <c r="L9" s="2880" t="s">
        <v>2351</v>
      </c>
      <c r="M9" s="2881"/>
      <c r="N9" s="2857"/>
      <c r="O9" s="2882"/>
      <c r="P9" s="2882"/>
      <c r="Q9" s="2883">
        <v>365</v>
      </c>
      <c r="R9" s="2884">
        <f t="shared" si="0"/>
        <v>0</v>
      </c>
      <c r="S9" s="2838"/>
      <c r="T9" s="2838"/>
      <c r="U9" s="2838"/>
      <c r="V9" s="2846"/>
    </row>
    <row r="10" spans="1:22" s="2850" customFormat="1" ht="13.15" customHeight="1">
      <c r="A10" s="2885">
        <v>2</v>
      </c>
      <c r="B10" s="3785" t="s">
        <v>2352</v>
      </c>
      <c r="C10" s="3786"/>
      <c r="D10" s="2886">
        <f>ROUND(D6*E10,0)</f>
        <v>0</v>
      </c>
      <c r="E10" s="2890"/>
      <c r="F10" s="2891" t="s">
        <v>2353</v>
      </c>
      <c r="G10" s="2870"/>
      <c r="H10" s="2845"/>
      <c r="I10" s="2846"/>
      <c r="J10" s="3768"/>
      <c r="K10" s="3770"/>
      <c r="L10" s="2880" t="s">
        <v>2354</v>
      </c>
      <c r="M10" s="2881"/>
      <c r="N10" s="2857"/>
      <c r="O10" s="2882"/>
      <c r="P10" s="2882"/>
      <c r="Q10" s="2883">
        <v>365</v>
      </c>
      <c r="R10" s="2884">
        <f t="shared" si="0"/>
        <v>0</v>
      </c>
      <c r="S10" s="2838"/>
      <c r="T10" s="2838"/>
      <c r="U10" s="2838"/>
      <c r="V10" s="2846"/>
    </row>
    <row r="11" spans="1:22" s="2850" customFormat="1" ht="13.15" customHeight="1">
      <c r="A11" s="2885">
        <v>3</v>
      </c>
      <c r="B11" s="3785" t="s">
        <v>2355</v>
      </c>
      <c r="C11" s="3786"/>
      <c r="D11" s="2886">
        <f>D12+D14+D15+D16</f>
        <v>0</v>
      </c>
      <c r="E11" s="2892" t="e">
        <f>D11/D6</f>
        <v>#DIV/0!</v>
      </c>
      <c r="F11" s="2888"/>
      <c r="G11" s="2889"/>
      <c r="H11" s="2845"/>
      <c r="I11" s="2846"/>
      <c r="J11" s="3768"/>
      <c r="K11" s="3770"/>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78" t="s">
        <v>2358</v>
      </c>
      <c r="C12" s="3779"/>
      <c r="D12" s="2894">
        <f>ROUND(D13*1.2%*(1-30%),0)</f>
        <v>0</v>
      </c>
      <c r="E12" s="2895">
        <v>1.2E-2</v>
      </c>
      <c r="F12" s="2888" t="s">
        <v>2359</v>
      </c>
      <c r="G12" s="2889"/>
      <c r="H12" s="2845"/>
      <c r="I12" s="2846"/>
      <c r="J12" s="3768"/>
      <c r="K12" s="3770"/>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68"/>
      <c r="K13" s="3770"/>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78" t="s">
        <v>2364</v>
      </c>
      <c r="C14" s="3779"/>
      <c r="D14" s="2894">
        <f>ROUND(E14*B5/10000,0)</f>
        <v>0</v>
      </c>
      <c r="E14" s="2883"/>
      <c r="F14" s="2888" t="s">
        <v>2365</v>
      </c>
      <c r="G14" s="2889"/>
      <c r="H14" s="2845"/>
      <c r="I14" s="2846"/>
      <c r="J14" s="3768"/>
      <c r="K14" s="3771"/>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78" t="s">
        <v>2368</v>
      </c>
      <c r="C15" s="3779"/>
      <c r="D15" s="2894">
        <f>ROUND(D6*E15,0)</f>
        <v>0</v>
      </c>
      <c r="E15" s="2895">
        <v>5.5E-2</v>
      </c>
      <c r="F15" s="2888" t="s">
        <v>2369</v>
      </c>
      <c r="G15" s="2870"/>
      <c r="H15" s="2845"/>
      <c r="I15" s="2846"/>
      <c r="J15" s="3768">
        <v>2</v>
      </c>
      <c r="K15" s="3769"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78" t="s">
        <v>2377</v>
      </c>
      <c r="C16" s="3779"/>
      <c r="D16" s="2905">
        <f>D6*E16</f>
        <v>0</v>
      </c>
      <c r="E16" s="2906"/>
      <c r="F16" s="2891" t="s">
        <v>2378</v>
      </c>
      <c r="G16" s="2870"/>
      <c r="H16" s="2845"/>
      <c r="I16" s="2846"/>
      <c r="J16" s="3768"/>
      <c r="K16" s="3770"/>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80" t="s">
        <v>2380</v>
      </c>
      <c r="C17" s="3781"/>
      <c r="D17" s="2908">
        <f>ROUND(D6*E17,0)</f>
        <v>0</v>
      </c>
      <c r="E17" s="2909"/>
      <c r="F17" s="2910" t="s">
        <v>2381</v>
      </c>
      <c r="G17" s="2870"/>
      <c r="H17" s="2845"/>
      <c r="I17" s="2846"/>
      <c r="J17" s="3768"/>
      <c r="K17" s="3770"/>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68"/>
      <c r="K18" s="3770"/>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68"/>
      <c r="K19" s="3771"/>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8">
        <v>3</v>
      </c>
      <c r="K20" s="3769"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68"/>
      <c r="K21" s="3770"/>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68"/>
      <c r="K22" s="3770"/>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68"/>
      <c r="K23" s="3770"/>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68"/>
      <c r="K24" s="3771"/>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72">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7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74" t="s">
        <v>2313</v>
      </c>
      <c r="K32" s="3775"/>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76" t="s">
        <v>2323</v>
      </c>
      <c r="K33" s="3777"/>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76" t="s">
        <v>2325</v>
      </c>
      <c r="K34" s="377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68">
        <v>1</v>
      </c>
      <c r="K36" s="3769"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68"/>
      <c r="K37" s="3770"/>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8"/>
      <c r="K38" s="3770"/>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68"/>
      <c r="K39" s="3770"/>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68"/>
      <c r="K40" s="3771"/>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72">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7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87" t="s">
        <v>1650</v>
      </c>
      <c r="C5" s="3788"/>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46B6-A262-4FEA-BF25-75B145D41E48}">
  <sheetPr>
    <tabColor rgb="FFC00000"/>
  </sheetPr>
  <dimension ref="A1:T60"/>
  <sheetViews>
    <sheetView tabSelected="1" topLeftCell="C31" workbookViewId="0">
      <selection activeCell="G35" sqref="G35"/>
    </sheetView>
  </sheetViews>
  <sheetFormatPr defaultRowHeight="12"/>
  <cols>
    <col min="1" max="1" width="5.375" style="3551" customWidth="1"/>
    <col min="2" max="3" width="6.125" style="3551" customWidth="1"/>
    <col min="4" max="5" width="9" style="3551"/>
    <col min="6" max="6" width="7.875" style="3551" customWidth="1"/>
    <col min="7" max="7" width="5.75" style="3551" customWidth="1"/>
    <col min="8" max="8" width="6.75" style="3551" customWidth="1"/>
    <col min="9" max="9" width="7.25" style="3551" customWidth="1"/>
    <col min="10" max="10" width="5.75" style="3551" customWidth="1"/>
    <col min="11" max="11" width="5.5" style="3551" customWidth="1"/>
    <col min="12" max="12" width="4.875" style="3551" customWidth="1"/>
    <col min="13" max="14" width="9" style="3551"/>
    <col min="15" max="15" width="9" style="3567"/>
    <col min="16" max="16" width="9" style="3551"/>
    <col min="17" max="17" width="10.25" style="3551" customWidth="1"/>
    <col min="18" max="18" width="11.625" style="3551" customWidth="1"/>
    <col min="19" max="19" width="10.5" style="3551" customWidth="1"/>
    <col min="20" max="20" width="11.25" style="3551" bestFit="1" customWidth="1"/>
    <col min="21" max="16384" width="9" style="3551"/>
  </cols>
  <sheetData>
    <row r="1" spans="1:20" ht="36">
      <c r="A1" s="3548" t="s">
        <v>3559</v>
      </c>
      <c r="B1" s="3789" t="s">
        <v>3589</v>
      </c>
      <c r="C1" s="3789"/>
      <c r="D1" s="3548" t="s">
        <v>3590</v>
      </c>
      <c r="E1" s="3560" t="s">
        <v>3676</v>
      </c>
      <c r="F1" s="3548" t="s">
        <v>3591</v>
      </c>
      <c r="G1" s="3549" t="s">
        <v>3592</v>
      </c>
      <c r="H1" s="3560" t="s">
        <v>3676</v>
      </c>
      <c r="I1" s="3549" t="s">
        <v>3593</v>
      </c>
      <c r="J1" s="3549" t="s">
        <v>3594</v>
      </c>
      <c r="K1" s="3560" t="s">
        <v>3676</v>
      </c>
      <c r="L1" s="3549" t="s">
        <v>3595</v>
      </c>
      <c r="M1" s="3543" t="s">
        <v>3639</v>
      </c>
      <c r="N1" s="3563" t="s">
        <v>3676</v>
      </c>
      <c r="O1" s="3566" t="s">
        <v>3677</v>
      </c>
      <c r="P1" s="3563" t="s">
        <v>3676</v>
      </c>
      <c r="Q1" s="3543" t="s">
        <v>3688</v>
      </c>
      <c r="R1" s="3543" t="s">
        <v>3687</v>
      </c>
      <c r="S1" s="3543" t="s">
        <v>3689</v>
      </c>
      <c r="T1" s="3543" t="s">
        <v>3690</v>
      </c>
    </row>
    <row r="2" spans="1:20" ht="12.75">
      <c r="A2" s="3790">
        <v>1</v>
      </c>
      <c r="B2" s="3791" t="s">
        <v>3596</v>
      </c>
      <c r="C2" s="3791" t="s">
        <v>3597</v>
      </c>
      <c r="D2" s="3550">
        <v>1025.71</v>
      </c>
      <c r="E2" s="3561">
        <f>I51</f>
        <v>0.92</v>
      </c>
      <c r="F2" s="3790" t="s">
        <v>39</v>
      </c>
      <c r="G2" s="3550">
        <v>1</v>
      </c>
      <c r="H2" s="3561">
        <v>1</v>
      </c>
      <c r="I2" s="3791" t="s">
        <v>3533</v>
      </c>
      <c r="J2" s="3790">
        <v>1985</v>
      </c>
      <c r="K2" s="3793">
        <f>$C$54/100</f>
        <v>0.97400000000000009</v>
      </c>
      <c r="L2" s="3791" t="s">
        <v>669</v>
      </c>
      <c r="M2" s="3792" t="s">
        <v>3682</v>
      </c>
      <c r="N2" s="3798">
        <v>0.85</v>
      </c>
      <c r="O2" s="3802" t="s">
        <v>3678</v>
      </c>
      <c r="P2" s="3799">
        <v>0.6</v>
      </c>
      <c r="Q2" s="3543">
        <f>ROUND($Q$40*E2*H2*K2*N2*$P$2,2)</f>
        <v>3.04</v>
      </c>
      <c r="R2" s="3543">
        <f>ROUND(D2*Q2,2)</f>
        <v>3118.16</v>
      </c>
      <c r="S2" s="3543"/>
      <c r="T2" s="3543"/>
    </row>
    <row r="3" spans="1:20" ht="12.75">
      <c r="A3" s="3790"/>
      <c r="B3" s="3791"/>
      <c r="C3" s="3791"/>
      <c r="D3" s="3550">
        <v>696.69</v>
      </c>
      <c r="E3" s="3561">
        <f>H51</f>
        <v>0.94</v>
      </c>
      <c r="F3" s="3790"/>
      <c r="G3" s="3550">
        <v>2</v>
      </c>
      <c r="H3" s="3561">
        <v>0.7</v>
      </c>
      <c r="I3" s="3791"/>
      <c r="J3" s="3790"/>
      <c r="K3" s="3794"/>
      <c r="L3" s="3791"/>
      <c r="M3" s="3792"/>
      <c r="N3" s="3798"/>
      <c r="O3" s="3803"/>
      <c r="P3" s="3800"/>
      <c r="Q3" s="3543">
        <f>ROUND($Q$40*E3*H3*K2*N2*$P$2,2)</f>
        <v>2.1800000000000002</v>
      </c>
      <c r="R3" s="3543">
        <f t="shared" ref="R3:R42" si="0">ROUND(D3*Q3,2)</f>
        <v>1518.78</v>
      </c>
      <c r="S3" s="3543"/>
      <c r="T3" s="3543"/>
    </row>
    <row r="4" spans="1:20" ht="12.75">
      <c r="A4" s="3790"/>
      <c r="B4" s="3791"/>
      <c r="C4" s="3791" t="s">
        <v>3598</v>
      </c>
      <c r="D4" s="3550">
        <v>492.57</v>
      </c>
      <c r="E4" s="3561">
        <f>G51</f>
        <v>0.96</v>
      </c>
      <c r="F4" s="3790" t="s">
        <v>39</v>
      </c>
      <c r="G4" s="3550">
        <v>1</v>
      </c>
      <c r="H4" s="3561">
        <v>1</v>
      </c>
      <c r="I4" s="3791" t="s">
        <v>3533</v>
      </c>
      <c r="J4" s="3790">
        <v>1985</v>
      </c>
      <c r="K4" s="3793">
        <f>$C$54/100</f>
        <v>0.97400000000000009</v>
      </c>
      <c r="L4" s="3791" t="s">
        <v>669</v>
      </c>
      <c r="M4" s="3792" t="s">
        <v>3682</v>
      </c>
      <c r="N4" s="3798">
        <f>N2</f>
        <v>0.85</v>
      </c>
      <c r="O4" s="3803"/>
      <c r="P4" s="3800"/>
      <c r="Q4" s="3543">
        <f>ROUND($Q$40*E4*H4*K4*N4*$P$2,2)</f>
        <v>3.18</v>
      </c>
      <c r="R4" s="3543">
        <f t="shared" si="0"/>
        <v>1566.37</v>
      </c>
      <c r="S4" s="3543"/>
      <c r="T4" s="3543"/>
    </row>
    <row r="5" spans="1:20" ht="12.75">
      <c r="A5" s="3790"/>
      <c r="B5" s="3791"/>
      <c r="C5" s="3791"/>
      <c r="D5" s="3550">
        <v>511.13</v>
      </c>
      <c r="E5" s="3561">
        <f>H51</f>
        <v>0.94</v>
      </c>
      <c r="F5" s="3790"/>
      <c r="G5" s="3550">
        <v>2</v>
      </c>
      <c r="H5" s="3561">
        <f>H3</f>
        <v>0.7</v>
      </c>
      <c r="I5" s="3791"/>
      <c r="J5" s="3790"/>
      <c r="K5" s="3794"/>
      <c r="L5" s="3791"/>
      <c r="M5" s="3792"/>
      <c r="N5" s="3798"/>
      <c r="O5" s="3803"/>
      <c r="P5" s="3800"/>
      <c r="Q5" s="3543">
        <f>ROUND($Q$40*E5*H5*K4*N4*$P$2,2)</f>
        <v>2.1800000000000002</v>
      </c>
      <c r="R5" s="3543">
        <f t="shared" si="0"/>
        <v>1114.26</v>
      </c>
      <c r="S5" s="3543"/>
      <c r="T5" s="3543"/>
    </row>
    <row r="6" spans="1:20" ht="12.75">
      <c r="A6" s="3790">
        <v>2</v>
      </c>
      <c r="B6" s="3791" t="s">
        <v>3599</v>
      </c>
      <c r="C6" s="3549" t="s">
        <v>3600</v>
      </c>
      <c r="D6" s="3550">
        <v>67.47</v>
      </c>
      <c r="E6" s="3561">
        <f>D51</f>
        <v>1.02</v>
      </c>
      <c r="F6" s="3550" t="s">
        <v>39</v>
      </c>
      <c r="G6" s="3550">
        <v>1</v>
      </c>
      <c r="H6" s="3561">
        <v>1</v>
      </c>
      <c r="I6" s="3549" t="s">
        <v>3533</v>
      </c>
      <c r="J6" s="3550">
        <v>1985</v>
      </c>
      <c r="K6" s="3561">
        <f>$K$4</f>
        <v>0.97400000000000009</v>
      </c>
      <c r="L6" s="3549" t="s">
        <v>669</v>
      </c>
      <c r="M6" s="3552" t="s">
        <v>3683</v>
      </c>
      <c r="N6" s="3564">
        <v>0.7</v>
      </c>
      <c r="O6" s="3803"/>
      <c r="P6" s="3800"/>
      <c r="Q6" s="3543">
        <f t="shared" ref="Q6:Q39" si="1">ROUND($Q$40*E6*H6*K6*N6*$P$2,2)</f>
        <v>2.78</v>
      </c>
      <c r="R6" s="3543">
        <f t="shared" si="0"/>
        <v>187.57</v>
      </c>
      <c r="S6" s="3543"/>
      <c r="T6" s="3543"/>
    </row>
    <row r="7" spans="1:20" ht="12.75">
      <c r="A7" s="3790"/>
      <c r="B7" s="3791"/>
      <c r="C7" s="3549" t="s">
        <v>3601</v>
      </c>
      <c r="D7" s="3550">
        <v>124.96</v>
      </c>
      <c r="E7" s="3561">
        <f>E51</f>
        <v>1</v>
      </c>
      <c r="F7" s="3550" t="s">
        <v>39</v>
      </c>
      <c r="G7" s="3550">
        <v>1</v>
      </c>
      <c r="H7" s="3561">
        <v>1</v>
      </c>
      <c r="I7" s="3549" t="s">
        <v>3533</v>
      </c>
      <c r="J7" s="3550">
        <v>1985</v>
      </c>
      <c r="K7" s="3561">
        <f t="shared" ref="K7:K16" si="2">$K$4</f>
        <v>0.97400000000000009</v>
      </c>
      <c r="L7" s="3549" t="s">
        <v>669</v>
      </c>
      <c r="M7" s="3552" t="s">
        <v>3683</v>
      </c>
      <c r="N7" s="3564">
        <f>$N$6</f>
        <v>0.7</v>
      </c>
      <c r="O7" s="3803"/>
      <c r="P7" s="3800"/>
      <c r="Q7" s="3543">
        <f t="shared" si="1"/>
        <v>2.72</v>
      </c>
      <c r="R7" s="3543">
        <f t="shared" si="0"/>
        <v>339.89</v>
      </c>
      <c r="S7" s="3543"/>
      <c r="T7" s="3543"/>
    </row>
    <row r="8" spans="1:20" ht="12.75">
      <c r="A8" s="3790"/>
      <c r="B8" s="3791"/>
      <c r="C8" s="3549" t="s">
        <v>3602</v>
      </c>
      <c r="D8" s="3550">
        <v>13.93</v>
      </c>
      <c r="E8" s="3561">
        <f>$C$51</f>
        <v>1.04</v>
      </c>
      <c r="F8" s="3550" t="s">
        <v>39</v>
      </c>
      <c r="G8" s="3550">
        <v>1</v>
      </c>
      <c r="H8" s="3561">
        <v>1</v>
      </c>
      <c r="I8" s="3549" t="s">
        <v>3533</v>
      </c>
      <c r="J8" s="3550">
        <v>1985</v>
      </c>
      <c r="K8" s="3561">
        <f t="shared" si="2"/>
        <v>0.97400000000000009</v>
      </c>
      <c r="L8" s="3549" t="s">
        <v>669</v>
      </c>
      <c r="M8" s="3552" t="s">
        <v>3683</v>
      </c>
      <c r="N8" s="3564">
        <f t="shared" ref="N8:N14" si="3">$N$6</f>
        <v>0.7</v>
      </c>
      <c r="O8" s="3803"/>
      <c r="P8" s="3800"/>
      <c r="Q8" s="3543">
        <f t="shared" si="1"/>
        <v>2.83</v>
      </c>
      <c r="R8" s="3543">
        <f t="shared" si="0"/>
        <v>39.42</v>
      </c>
      <c r="S8" s="3543"/>
      <c r="T8" s="3543"/>
    </row>
    <row r="9" spans="1:20" ht="12.75">
      <c r="A9" s="3790"/>
      <c r="B9" s="3791"/>
      <c r="C9" s="3549" t="s">
        <v>3603</v>
      </c>
      <c r="D9" s="3550">
        <v>19.23</v>
      </c>
      <c r="E9" s="3561">
        <f t="shared" ref="E9:E15" si="4">$C$51</f>
        <v>1.04</v>
      </c>
      <c r="F9" s="3550" t="s">
        <v>39</v>
      </c>
      <c r="G9" s="3550">
        <v>1</v>
      </c>
      <c r="H9" s="3561">
        <v>1</v>
      </c>
      <c r="I9" s="3549" t="s">
        <v>3533</v>
      </c>
      <c r="J9" s="3550">
        <v>1985</v>
      </c>
      <c r="K9" s="3561">
        <f t="shared" si="2"/>
        <v>0.97400000000000009</v>
      </c>
      <c r="L9" s="3549" t="s">
        <v>669</v>
      </c>
      <c r="M9" s="3552" t="s">
        <v>3683</v>
      </c>
      <c r="N9" s="3564">
        <f t="shared" si="3"/>
        <v>0.7</v>
      </c>
      <c r="O9" s="3803"/>
      <c r="P9" s="3800"/>
      <c r="Q9" s="3543">
        <f t="shared" si="1"/>
        <v>2.83</v>
      </c>
      <c r="R9" s="3543">
        <f t="shared" si="0"/>
        <v>54.42</v>
      </c>
      <c r="S9" s="3543"/>
      <c r="T9" s="3543"/>
    </row>
    <row r="10" spans="1:20" ht="12.75">
      <c r="A10" s="3790"/>
      <c r="B10" s="3791"/>
      <c r="C10" s="3549" t="s">
        <v>3604</v>
      </c>
      <c r="D10" s="3550">
        <v>33.270000000000003</v>
      </c>
      <c r="E10" s="3561">
        <f t="shared" si="4"/>
        <v>1.04</v>
      </c>
      <c r="F10" s="3550" t="s">
        <v>39</v>
      </c>
      <c r="G10" s="3550">
        <v>1</v>
      </c>
      <c r="H10" s="3561">
        <v>1</v>
      </c>
      <c r="I10" s="3549" t="s">
        <v>3533</v>
      </c>
      <c r="J10" s="3550">
        <v>1985</v>
      </c>
      <c r="K10" s="3561">
        <f t="shared" si="2"/>
        <v>0.97400000000000009</v>
      </c>
      <c r="L10" s="3549" t="s">
        <v>669</v>
      </c>
      <c r="M10" s="3552" t="s">
        <v>3683</v>
      </c>
      <c r="N10" s="3564">
        <f t="shared" si="3"/>
        <v>0.7</v>
      </c>
      <c r="O10" s="3803"/>
      <c r="P10" s="3800"/>
      <c r="Q10" s="3543">
        <f t="shared" si="1"/>
        <v>2.83</v>
      </c>
      <c r="R10" s="3543">
        <f t="shared" si="0"/>
        <v>94.15</v>
      </c>
      <c r="S10" s="3543"/>
      <c r="T10" s="3543"/>
    </row>
    <row r="11" spans="1:20" ht="12.75">
      <c r="A11" s="3790"/>
      <c r="B11" s="3791"/>
      <c r="C11" s="3549" t="s">
        <v>3605</v>
      </c>
      <c r="D11" s="3550">
        <v>17.28</v>
      </c>
      <c r="E11" s="3561">
        <f t="shared" si="4"/>
        <v>1.04</v>
      </c>
      <c r="F11" s="3550" t="s">
        <v>39</v>
      </c>
      <c r="G11" s="3550">
        <v>1</v>
      </c>
      <c r="H11" s="3561">
        <v>1</v>
      </c>
      <c r="I11" s="3549" t="s">
        <v>3533</v>
      </c>
      <c r="J11" s="3550">
        <v>1985</v>
      </c>
      <c r="K11" s="3561">
        <f t="shared" si="2"/>
        <v>0.97400000000000009</v>
      </c>
      <c r="L11" s="3549" t="s">
        <v>669</v>
      </c>
      <c r="M11" s="3552" t="s">
        <v>3683</v>
      </c>
      <c r="N11" s="3564">
        <f t="shared" si="3"/>
        <v>0.7</v>
      </c>
      <c r="O11" s="3803"/>
      <c r="P11" s="3800"/>
      <c r="Q11" s="3543">
        <f t="shared" si="1"/>
        <v>2.83</v>
      </c>
      <c r="R11" s="3543">
        <f t="shared" si="0"/>
        <v>48.9</v>
      </c>
      <c r="S11" s="3543"/>
      <c r="T11" s="3543"/>
    </row>
    <row r="12" spans="1:20" ht="12.75">
      <c r="A12" s="3790"/>
      <c r="B12" s="3791"/>
      <c r="C12" s="3549" t="s">
        <v>3606</v>
      </c>
      <c r="D12" s="3550">
        <v>15.89</v>
      </c>
      <c r="E12" s="3561">
        <f t="shared" si="4"/>
        <v>1.04</v>
      </c>
      <c r="F12" s="3550" t="s">
        <v>39</v>
      </c>
      <c r="G12" s="3550">
        <v>1</v>
      </c>
      <c r="H12" s="3561">
        <v>1</v>
      </c>
      <c r="I12" s="3549" t="s">
        <v>3533</v>
      </c>
      <c r="J12" s="3550">
        <v>1985</v>
      </c>
      <c r="K12" s="3561">
        <f t="shared" si="2"/>
        <v>0.97400000000000009</v>
      </c>
      <c r="L12" s="3549" t="s">
        <v>669</v>
      </c>
      <c r="M12" s="3552" t="s">
        <v>3683</v>
      </c>
      <c r="N12" s="3564">
        <f t="shared" si="3"/>
        <v>0.7</v>
      </c>
      <c r="O12" s="3803"/>
      <c r="P12" s="3800"/>
      <c r="Q12" s="3543">
        <f t="shared" si="1"/>
        <v>2.83</v>
      </c>
      <c r="R12" s="3543">
        <f t="shared" si="0"/>
        <v>44.97</v>
      </c>
      <c r="S12" s="3543"/>
      <c r="T12" s="3543"/>
    </row>
    <row r="13" spans="1:20" ht="12.75">
      <c r="A13" s="3790"/>
      <c r="B13" s="3791"/>
      <c r="C13" s="3549" t="s">
        <v>3607</v>
      </c>
      <c r="D13" s="3550">
        <v>16.72</v>
      </c>
      <c r="E13" s="3561">
        <f t="shared" si="4"/>
        <v>1.04</v>
      </c>
      <c r="F13" s="3550" t="s">
        <v>39</v>
      </c>
      <c r="G13" s="3550">
        <v>1</v>
      </c>
      <c r="H13" s="3561">
        <v>1</v>
      </c>
      <c r="I13" s="3549" t="s">
        <v>3533</v>
      </c>
      <c r="J13" s="3550">
        <v>1985</v>
      </c>
      <c r="K13" s="3561">
        <f t="shared" si="2"/>
        <v>0.97400000000000009</v>
      </c>
      <c r="L13" s="3549" t="s">
        <v>669</v>
      </c>
      <c r="M13" s="3552" t="s">
        <v>3683</v>
      </c>
      <c r="N13" s="3564">
        <f t="shared" si="3"/>
        <v>0.7</v>
      </c>
      <c r="O13" s="3803"/>
      <c r="P13" s="3800"/>
      <c r="Q13" s="3543">
        <f t="shared" si="1"/>
        <v>2.83</v>
      </c>
      <c r="R13" s="3543">
        <f t="shared" si="0"/>
        <v>47.32</v>
      </c>
      <c r="S13" s="3543"/>
      <c r="T13" s="3543"/>
    </row>
    <row r="14" spans="1:20" ht="12.75">
      <c r="A14" s="3790"/>
      <c r="B14" s="3791"/>
      <c r="C14" s="3549" t="s">
        <v>3608</v>
      </c>
      <c r="D14" s="3550">
        <v>22.02</v>
      </c>
      <c r="E14" s="3561">
        <f t="shared" si="4"/>
        <v>1.04</v>
      </c>
      <c r="F14" s="3550" t="s">
        <v>39</v>
      </c>
      <c r="G14" s="3550">
        <v>1</v>
      </c>
      <c r="H14" s="3561">
        <v>1</v>
      </c>
      <c r="I14" s="3549" t="s">
        <v>3533</v>
      </c>
      <c r="J14" s="3550">
        <v>1985</v>
      </c>
      <c r="K14" s="3561">
        <f t="shared" si="2"/>
        <v>0.97400000000000009</v>
      </c>
      <c r="L14" s="3549" t="s">
        <v>669</v>
      </c>
      <c r="M14" s="3552" t="s">
        <v>3683</v>
      </c>
      <c r="N14" s="3564">
        <f t="shared" si="3"/>
        <v>0.7</v>
      </c>
      <c r="O14" s="3803"/>
      <c r="P14" s="3800"/>
      <c r="Q14" s="3543">
        <f t="shared" si="1"/>
        <v>2.83</v>
      </c>
      <c r="R14" s="3543">
        <f t="shared" si="0"/>
        <v>62.32</v>
      </c>
      <c r="S14" s="3543"/>
      <c r="T14" s="3543"/>
    </row>
    <row r="15" spans="1:20" ht="12.75">
      <c r="A15" s="3790"/>
      <c r="B15" s="3791"/>
      <c r="C15" s="3549" t="s">
        <v>3609</v>
      </c>
      <c r="D15" s="3550">
        <v>19.399999999999999</v>
      </c>
      <c r="E15" s="3561">
        <f t="shared" si="4"/>
        <v>1.04</v>
      </c>
      <c r="F15" s="3550" t="s">
        <v>39</v>
      </c>
      <c r="G15" s="3550">
        <v>1</v>
      </c>
      <c r="H15" s="3561">
        <v>1</v>
      </c>
      <c r="I15" s="3549" t="s">
        <v>3533</v>
      </c>
      <c r="J15" s="3550">
        <v>1985</v>
      </c>
      <c r="K15" s="3561">
        <f t="shared" si="2"/>
        <v>0.97400000000000009</v>
      </c>
      <c r="L15" s="3549" t="s">
        <v>669</v>
      </c>
      <c r="M15" s="3543" t="s">
        <v>3682</v>
      </c>
      <c r="N15" s="3563">
        <f>$N$2</f>
        <v>0.85</v>
      </c>
      <c r="O15" s="3803"/>
      <c r="P15" s="3800"/>
      <c r="Q15" s="3543">
        <f t="shared" si="1"/>
        <v>3.44</v>
      </c>
      <c r="R15" s="3543">
        <f t="shared" si="0"/>
        <v>66.739999999999995</v>
      </c>
      <c r="S15" s="3543"/>
      <c r="T15" s="3543"/>
    </row>
    <row r="16" spans="1:20" ht="12.75">
      <c r="A16" s="3790"/>
      <c r="B16" s="3791"/>
      <c r="C16" s="3549" t="s">
        <v>3610</v>
      </c>
      <c r="D16" s="3550">
        <v>19.399999999999999</v>
      </c>
      <c r="E16" s="3561">
        <f>$C$51</f>
        <v>1.04</v>
      </c>
      <c r="F16" s="3550" t="s">
        <v>39</v>
      </c>
      <c r="G16" s="3550">
        <v>1</v>
      </c>
      <c r="H16" s="3561">
        <v>1</v>
      </c>
      <c r="I16" s="3549" t="s">
        <v>3533</v>
      </c>
      <c r="J16" s="3550">
        <v>1985</v>
      </c>
      <c r="K16" s="3561">
        <f t="shared" si="2"/>
        <v>0.97400000000000009</v>
      </c>
      <c r="L16" s="3549" t="s">
        <v>669</v>
      </c>
      <c r="M16" s="3543" t="s">
        <v>3682</v>
      </c>
      <c r="N16" s="3563">
        <f t="shared" ref="N16:N39" si="5">$N$2</f>
        <v>0.85</v>
      </c>
      <c r="O16" s="3803"/>
      <c r="P16" s="3800"/>
      <c r="Q16" s="3543">
        <f t="shared" si="1"/>
        <v>3.44</v>
      </c>
      <c r="R16" s="3543">
        <f t="shared" si="0"/>
        <v>66.739999999999995</v>
      </c>
      <c r="S16" s="3543"/>
      <c r="T16" s="3543"/>
    </row>
    <row r="17" spans="1:20" ht="12.75">
      <c r="A17" s="3790">
        <v>3</v>
      </c>
      <c r="B17" s="3791" t="s">
        <v>3611</v>
      </c>
      <c r="C17" s="3549" t="s">
        <v>3600</v>
      </c>
      <c r="D17" s="3550">
        <v>42.12</v>
      </c>
      <c r="E17" s="3561">
        <f t="shared" ref="E17:E29" si="6">$C$51</f>
        <v>1.04</v>
      </c>
      <c r="F17" s="3550" t="s">
        <v>39</v>
      </c>
      <c r="G17" s="3550">
        <v>1</v>
      </c>
      <c r="H17" s="3561">
        <v>1</v>
      </c>
      <c r="I17" s="3549" t="s">
        <v>3533</v>
      </c>
      <c r="J17" s="3550">
        <v>2002</v>
      </c>
      <c r="K17" s="3561">
        <f>$I$54/100</f>
        <v>1.008</v>
      </c>
      <c r="L17" s="3549" t="s">
        <v>669</v>
      </c>
      <c r="M17" s="3543" t="s">
        <v>3682</v>
      </c>
      <c r="N17" s="3563">
        <f t="shared" si="5"/>
        <v>0.85</v>
      </c>
      <c r="O17" s="3803"/>
      <c r="P17" s="3800"/>
      <c r="Q17" s="3543">
        <f t="shared" si="1"/>
        <v>3.56</v>
      </c>
      <c r="R17" s="3543">
        <f t="shared" si="0"/>
        <v>149.94999999999999</v>
      </c>
      <c r="S17" s="3543"/>
      <c r="T17" s="3543"/>
    </row>
    <row r="18" spans="1:20" ht="12.75">
      <c r="A18" s="3790"/>
      <c r="B18" s="3791"/>
      <c r="C18" s="3549" t="s">
        <v>3601</v>
      </c>
      <c r="D18" s="3550">
        <v>42.12</v>
      </c>
      <c r="E18" s="3561">
        <f t="shared" si="6"/>
        <v>1.04</v>
      </c>
      <c r="F18" s="3550" t="s">
        <v>39</v>
      </c>
      <c r="G18" s="3550">
        <v>1</v>
      </c>
      <c r="H18" s="3561">
        <v>1</v>
      </c>
      <c r="I18" s="3549" t="s">
        <v>3533</v>
      </c>
      <c r="J18" s="3550">
        <v>2002</v>
      </c>
      <c r="K18" s="3561">
        <f t="shared" ref="K18:K29" si="7">$I$54/100</f>
        <v>1.008</v>
      </c>
      <c r="L18" s="3549" t="s">
        <v>669</v>
      </c>
      <c r="M18" s="3543" t="s">
        <v>3682</v>
      </c>
      <c r="N18" s="3563">
        <f t="shared" si="5"/>
        <v>0.85</v>
      </c>
      <c r="O18" s="3803"/>
      <c r="P18" s="3800"/>
      <c r="Q18" s="3543">
        <f t="shared" si="1"/>
        <v>3.56</v>
      </c>
      <c r="R18" s="3543">
        <f t="shared" si="0"/>
        <v>149.94999999999999</v>
      </c>
      <c r="S18" s="3543"/>
      <c r="T18" s="3543"/>
    </row>
    <row r="19" spans="1:20" ht="12.75">
      <c r="A19" s="3790"/>
      <c r="B19" s="3791"/>
      <c r="C19" s="3549" t="s">
        <v>3612</v>
      </c>
      <c r="D19" s="3550">
        <v>42.12</v>
      </c>
      <c r="E19" s="3561">
        <f t="shared" si="6"/>
        <v>1.04</v>
      </c>
      <c r="F19" s="3550" t="s">
        <v>39</v>
      </c>
      <c r="G19" s="3550">
        <v>1</v>
      </c>
      <c r="H19" s="3561">
        <v>1</v>
      </c>
      <c r="I19" s="3549" t="s">
        <v>3533</v>
      </c>
      <c r="J19" s="3550">
        <v>2002</v>
      </c>
      <c r="K19" s="3561">
        <f t="shared" si="7"/>
        <v>1.008</v>
      </c>
      <c r="L19" s="3549" t="s">
        <v>669</v>
      </c>
      <c r="M19" s="3543" t="s">
        <v>3682</v>
      </c>
      <c r="N19" s="3563">
        <f t="shared" si="5"/>
        <v>0.85</v>
      </c>
      <c r="O19" s="3803"/>
      <c r="P19" s="3800"/>
      <c r="Q19" s="3543">
        <f t="shared" si="1"/>
        <v>3.56</v>
      </c>
      <c r="R19" s="3543">
        <f t="shared" si="0"/>
        <v>149.94999999999999</v>
      </c>
      <c r="S19" s="3543"/>
      <c r="T19" s="3543"/>
    </row>
    <row r="20" spans="1:20" ht="12.75">
      <c r="A20" s="3790"/>
      <c r="B20" s="3791"/>
      <c r="C20" s="3549" t="s">
        <v>3613</v>
      </c>
      <c r="D20" s="3550">
        <v>42.12</v>
      </c>
      <c r="E20" s="3561">
        <f t="shared" si="6"/>
        <v>1.04</v>
      </c>
      <c r="F20" s="3550" t="s">
        <v>39</v>
      </c>
      <c r="G20" s="3550">
        <v>1</v>
      </c>
      <c r="H20" s="3561">
        <v>1</v>
      </c>
      <c r="I20" s="3549" t="s">
        <v>3533</v>
      </c>
      <c r="J20" s="3550">
        <v>2002</v>
      </c>
      <c r="K20" s="3561">
        <f t="shared" si="7"/>
        <v>1.008</v>
      </c>
      <c r="L20" s="3549" t="s">
        <v>669</v>
      </c>
      <c r="M20" s="3543" t="s">
        <v>3682</v>
      </c>
      <c r="N20" s="3563">
        <f t="shared" si="5"/>
        <v>0.85</v>
      </c>
      <c r="O20" s="3803"/>
      <c r="P20" s="3800"/>
      <c r="Q20" s="3543">
        <f t="shared" si="1"/>
        <v>3.56</v>
      </c>
      <c r="R20" s="3543">
        <f t="shared" si="0"/>
        <v>149.94999999999999</v>
      </c>
      <c r="S20" s="3543"/>
      <c r="T20" s="3543"/>
    </row>
    <row r="21" spans="1:20" ht="12.75">
      <c r="A21" s="3790"/>
      <c r="B21" s="3791"/>
      <c r="C21" s="3549" t="s">
        <v>3614</v>
      </c>
      <c r="D21" s="3550">
        <v>42.12</v>
      </c>
      <c r="E21" s="3561">
        <f t="shared" si="6"/>
        <v>1.04</v>
      </c>
      <c r="F21" s="3550" t="s">
        <v>39</v>
      </c>
      <c r="G21" s="3550">
        <v>1</v>
      </c>
      <c r="H21" s="3561">
        <v>1</v>
      </c>
      <c r="I21" s="3549" t="s">
        <v>3533</v>
      </c>
      <c r="J21" s="3550">
        <v>2002</v>
      </c>
      <c r="K21" s="3561">
        <f t="shared" si="7"/>
        <v>1.008</v>
      </c>
      <c r="L21" s="3549" t="s">
        <v>669</v>
      </c>
      <c r="M21" s="3543" t="s">
        <v>3682</v>
      </c>
      <c r="N21" s="3563">
        <f t="shared" si="5"/>
        <v>0.85</v>
      </c>
      <c r="O21" s="3803"/>
      <c r="P21" s="3800"/>
      <c r="Q21" s="3543">
        <f t="shared" si="1"/>
        <v>3.56</v>
      </c>
      <c r="R21" s="3543">
        <f t="shared" si="0"/>
        <v>149.94999999999999</v>
      </c>
      <c r="S21" s="3543"/>
      <c r="T21" s="3543"/>
    </row>
    <row r="22" spans="1:20" ht="12.75">
      <c r="A22" s="3790"/>
      <c r="B22" s="3791"/>
      <c r="C22" s="3549" t="s">
        <v>3615</v>
      </c>
      <c r="D22" s="3550">
        <v>42.12</v>
      </c>
      <c r="E22" s="3561">
        <f t="shared" si="6"/>
        <v>1.04</v>
      </c>
      <c r="F22" s="3550" t="s">
        <v>39</v>
      </c>
      <c r="G22" s="3550">
        <v>1</v>
      </c>
      <c r="H22" s="3561">
        <v>1</v>
      </c>
      <c r="I22" s="3549" t="s">
        <v>3533</v>
      </c>
      <c r="J22" s="3550">
        <v>2002</v>
      </c>
      <c r="K22" s="3561">
        <f t="shared" si="7"/>
        <v>1.008</v>
      </c>
      <c r="L22" s="3549" t="s">
        <v>669</v>
      </c>
      <c r="M22" s="3543" t="s">
        <v>3682</v>
      </c>
      <c r="N22" s="3563">
        <f t="shared" si="5"/>
        <v>0.85</v>
      </c>
      <c r="O22" s="3803"/>
      <c r="P22" s="3800"/>
      <c r="Q22" s="3543">
        <f t="shared" si="1"/>
        <v>3.56</v>
      </c>
      <c r="R22" s="3543">
        <f t="shared" si="0"/>
        <v>149.94999999999999</v>
      </c>
      <c r="S22" s="3543"/>
      <c r="T22" s="3543"/>
    </row>
    <row r="23" spans="1:20" ht="12.75">
      <c r="A23" s="3790"/>
      <c r="B23" s="3791"/>
      <c r="C23" s="3549" t="s">
        <v>3616</v>
      </c>
      <c r="D23" s="3550">
        <v>19.88</v>
      </c>
      <c r="E23" s="3561">
        <f t="shared" si="6"/>
        <v>1.04</v>
      </c>
      <c r="F23" s="3550" t="s">
        <v>39</v>
      </c>
      <c r="G23" s="3550">
        <v>1</v>
      </c>
      <c r="H23" s="3561">
        <v>1</v>
      </c>
      <c r="I23" s="3549" t="s">
        <v>3533</v>
      </c>
      <c r="J23" s="3550">
        <v>2002</v>
      </c>
      <c r="K23" s="3561">
        <f t="shared" si="7"/>
        <v>1.008</v>
      </c>
      <c r="L23" s="3549" t="s">
        <v>669</v>
      </c>
      <c r="M23" s="3543" t="s">
        <v>3682</v>
      </c>
      <c r="N23" s="3563">
        <f t="shared" si="5"/>
        <v>0.85</v>
      </c>
      <c r="O23" s="3803"/>
      <c r="P23" s="3800"/>
      <c r="Q23" s="3543">
        <f t="shared" si="1"/>
        <v>3.56</v>
      </c>
      <c r="R23" s="3543">
        <f t="shared" si="0"/>
        <v>70.77</v>
      </c>
      <c r="S23" s="3543"/>
      <c r="T23" s="3543"/>
    </row>
    <row r="24" spans="1:20" ht="12.75">
      <c r="A24" s="3790"/>
      <c r="B24" s="3791"/>
      <c r="C24" s="3549" t="s">
        <v>3617</v>
      </c>
      <c r="D24" s="3550">
        <v>42.12</v>
      </c>
      <c r="E24" s="3561">
        <f t="shared" si="6"/>
        <v>1.04</v>
      </c>
      <c r="F24" s="3550" t="s">
        <v>39</v>
      </c>
      <c r="G24" s="3550">
        <v>1</v>
      </c>
      <c r="H24" s="3561">
        <v>1</v>
      </c>
      <c r="I24" s="3549" t="s">
        <v>3533</v>
      </c>
      <c r="J24" s="3550">
        <v>2002</v>
      </c>
      <c r="K24" s="3561">
        <f t="shared" si="7"/>
        <v>1.008</v>
      </c>
      <c r="L24" s="3549" t="s">
        <v>669</v>
      </c>
      <c r="M24" s="3543" t="s">
        <v>3682</v>
      </c>
      <c r="N24" s="3563">
        <f t="shared" si="5"/>
        <v>0.85</v>
      </c>
      <c r="O24" s="3803"/>
      <c r="P24" s="3800"/>
      <c r="Q24" s="3543">
        <f t="shared" si="1"/>
        <v>3.56</v>
      </c>
      <c r="R24" s="3543">
        <f t="shared" si="0"/>
        <v>149.94999999999999</v>
      </c>
      <c r="S24" s="3543"/>
      <c r="T24" s="3543"/>
    </row>
    <row r="25" spans="1:20" ht="12.75">
      <c r="A25" s="3790"/>
      <c r="B25" s="3791"/>
      <c r="C25" s="3549" t="s">
        <v>3618</v>
      </c>
      <c r="D25" s="3550">
        <v>42.12</v>
      </c>
      <c r="E25" s="3561">
        <f t="shared" si="6"/>
        <v>1.04</v>
      </c>
      <c r="F25" s="3550" t="s">
        <v>39</v>
      </c>
      <c r="G25" s="3550">
        <v>1</v>
      </c>
      <c r="H25" s="3561">
        <v>1</v>
      </c>
      <c r="I25" s="3549" t="s">
        <v>3533</v>
      </c>
      <c r="J25" s="3550">
        <v>2002</v>
      </c>
      <c r="K25" s="3561">
        <f t="shared" si="7"/>
        <v>1.008</v>
      </c>
      <c r="L25" s="3549" t="s">
        <v>669</v>
      </c>
      <c r="M25" s="3543" t="s">
        <v>3682</v>
      </c>
      <c r="N25" s="3563">
        <f t="shared" si="5"/>
        <v>0.85</v>
      </c>
      <c r="O25" s="3803"/>
      <c r="P25" s="3800"/>
      <c r="Q25" s="3543">
        <f t="shared" si="1"/>
        <v>3.56</v>
      </c>
      <c r="R25" s="3543">
        <f t="shared" si="0"/>
        <v>149.94999999999999</v>
      </c>
      <c r="S25" s="3543"/>
      <c r="T25" s="3543"/>
    </row>
    <row r="26" spans="1:20" ht="12.75">
      <c r="A26" s="3790">
        <v>3</v>
      </c>
      <c r="B26" s="3791" t="s">
        <v>3611</v>
      </c>
      <c r="C26" s="3549" t="s">
        <v>3619</v>
      </c>
      <c r="D26" s="3550">
        <v>42.12</v>
      </c>
      <c r="E26" s="3561">
        <f t="shared" si="6"/>
        <v>1.04</v>
      </c>
      <c r="F26" s="3550" t="s">
        <v>39</v>
      </c>
      <c r="G26" s="3550">
        <v>1</v>
      </c>
      <c r="H26" s="3561">
        <v>1</v>
      </c>
      <c r="I26" s="3549" t="s">
        <v>3533</v>
      </c>
      <c r="J26" s="3550">
        <v>2002</v>
      </c>
      <c r="K26" s="3561">
        <f t="shared" si="7"/>
        <v>1.008</v>
      </c>
      <c r="L26" s="3549" t="s">
        <v>669</v>
      </c>
      <c r="M26" s="3543" t="s">
        <v>3682</v>
      </c>
      <c r="N26" s="3563">
        <f t="shared" si="5"/>
        <v>0.85</v>
      </c>
      <c r="O26" s="3803"/>
      <c r="P26" s="3800"/>
      <c r="Q26" s="3543">
        <f t="shared" si="1"/>
        <v>3.56</v>
      </c>
      <c r="R26" s="3543">
        <f t="shared" si="0"/>
        <v>149.94999999999999</v>
      </c>
      <c r="S26" s="3543"/>
      <c r="T26" s="3543"/>
    </row>
    <row r="27" spans="1:20" ht="12.75">
      <c r="A27" s="3790"/>
      <c r="B27" s="3791"/>
      <c r="C27" s="3549" t="s">
        <v>3620</v>
      </c>
      <c r="D27" s="3550">
        <v>42.12</v>
      </c>
      <c r="E27" s="3561">
        <f t="shared" si="6"/>
        <v>1.04</v>
      </c>
      <c r="F27" s="3550" t="s">
        <v>39</v>
      </c>
      <c r="G27" s="3550">
        <v>1</v>
      </c>
      <c r="H27" s="3561">
        <v>1</v>
      </c>
      <c r="I27" s="3549" t="s">
        <v>3533</v>
      </c>
      <c r="J27" s="3550">
        <v>2002</v>
      </c>
      <c r="K27" s="3561">
        <f t="shared" si="7"/>
        <v>1.008</v>
      </c>
      <c r="L27" s="3549" t="s">
        <v>669</v>
      </c>
      <c r="M27" s="3543" t="s">
        <v>3682</v>
      </c>
      <c r="N27" s="3563">
        <f t="shared" si="5"/>
        <v>0.85</v>
      </c>
      <c r="O27" s="3803"/>
      <c r="P27" s="3800"/>
      <c r="Q27" s="3543">
        <f t="shared" si="1"/>
        <v>3.56</v>
      </c>
      <c r="R27" s="3543">
        <f t="shared" si="0"/>
        <v>149.94999999999999</v>
      </c>
      <c r="S27" s="3543"/>
      <c r="T27" s="3543"/>
    </row>
    <row r="28" spans="1:20" ht="12.75">
      <c r="A28" s="3790"/>
      <c r="B28" s="3791"/>
      <c r="C28" s="3549" t="s">
        <v>3621</v>
      </c>
      <c r="D28" s="3550">
        <v>42.12</v>
      </c>
      <c r="E28" s="3561">
        <f t="shared" si="6"/>
        <v>1.04</v>
      </c>
      <c r="F28" s="3550" t="s">
        <v>39</v>
      </c>
      <c r="G28" s="3550">
        <v>1</v>
      </c>
      <c r="H28" s="3561">
        <v>1</v>
      </c>
      <c r="I28" s="3549" t="s">
        <v>3533</v>
      </c>
      <c r="J28" s="3550">
        <v>2002</v>
      </c>
      <c r="K28" s="3561">
        <f t="shared" si="7"/>
        <v>1.008</v>
      </c>
      <c r="L28" s="3549" t="s">
        <v>669</v>
      </c>
      <c r="M28" s="3543" t="s">
        <v>3682</v>
      </c>
      <c r="N28" s="3563">
        <f t="shared" si="5"/>
        <v>0.85</v>
      </c>
      <c r="O28" s="3803"/>
      <c r="P28" s="3800"/>
      <c r="Q28" s="3543">
        <f t="shared" si="1"/>
        <v>3.56</v>
      </c>
      <c r="R28" s="3543">
        <f t="shared" si="0"/>
        <v>149.94999999999999</v>
      </c>
      <c r="S28" s="3543"/>
      <c r="T28" s="3543"/>
    </row>
    <row r="29" spans="1:20" ht="12.75">
      <c r="A29" s="3790"/>
      <c r="B29" s="3791"/>
      <c r="C29" s="3549" t="s">
        <v>3622</v>
      </c>
      <c r="D29" s="3550">
        <v>42.12</v>
      </c>
      <c r="E29" s="3561">
        <f t="shared" si="6"/>
        <v>1.04</v>
      </c>
      <c r="F29" s="3550" t="s">
        <v>39</v>
      </c>
      <c r="G29" s="3550">
        <v>1</v>
      </c>
      <c r="H29" s="3561">
        <v>1</v>
      </c>
      <c r="I29" s="3549" t="s">
        <v>3533</v>
      </c>
      <c r="J29" s="3550">
        <v>2002</v>
      </c>
      <c r="K29" s="3561">
        <f t="shared" si="7"/>
        <v>1.008</v>
      </c>
      <c r="L29" s="3549" t="s">
        <v>669</v>
      </c>
      <c r="M29" s="3543" t="s">
        <v>3682</v>
      </c>
      <c r="N29" s="3563">
        <f t="shared" si="5"/>
        <v>0.85</v>
      </c>
      <c r="O29" s="3803"/>
      <c r="P29" s="3800"/>
      <c r="Q29" s="3543">
        <f t="shared" si="1"/>
        <v>3.56</v>
      </c>
      <c r="R29" s="3543">
        <f t="shared" si="0"/>
        <v>149.94999999999999</v>
      </c>
      <c r="S29" s="3543"/>
      <c r="T29" s="3543"/>
    </row>
    <row r="30" spans="1:20" ht="12.75">
      <c r="A30" s="3550">
        <v>4</v>
      </c>
      <c r="B30" s="3791" t="s">
        <v>3623</v>
      </c>
      <c r="C30" s="3791"/>
      <c r="D30" s="3550">
        <v>554.4</v>
      </c>
      <c r="E30" s="3561">
        <f>H51</f>
        <v>0.94</v>
      </c>
      <c r="F30" s="3550" t="s">
        <v>39</v>
      </c>
      <c r="G30" s="3550">
        <v>2</v>
      </c>
      <c r="H30" s="3561">
        <f>H5</f>
        <v>0.7</v>
      </c>
      <c r="I30" s="3549" t="s">
        <v>3533</v>
      </c>
      <c r="J30" s="3550">
        <v>1983</v>
      </c>
      <c r="K30" s="3561">
        <f>B54/100</f>
        <v>0.97</v>
      </c>
      <c r="L30" s="3549" t="s">
        <v>669</v>
      </c>
      <c r="M30" s="3543" t="s">
        <v>3682</v>
      </c>
      <c r="N30" s="3563">
        <f t="shared" si="5"/>
        <v>0.85</v>
      </c>
      <c r="O30" s="3803"/>
      <c r="P30" s="3800"/>
      <c r="Q30" s="3543">
        <f t="shared" si="1"/>
        <v>2.17</v>
      </c>
      <c r="R30" s="3543">
        <f t="shared" si="0"/>
        <v>1203.05</v>
      </c>
      <c r="S30" s="3543"/>
      <c r="T30" s="3543"/>
    </row>
    <row r="31" spans="1:20" ht="12.75">
      <c r="A31" s="3550">
        <v>5</v>
      </c>
      <c r="B31" s="3791" t="s">
        <v>3624</v>
      </c>
      <c r="C31" s="3791"/>
      <c r="D31" s="3550">
        <v>40</v>
      </c>
      <c r="E31" s="3561">
        <f>C51</f>
        <v>1.04</v>
      </c>
      <c r="F31" s="3550" t="s">
        <v>39</v>
      </c>
      <c r="G31" s="3550">
        <v>1</v>
      </c>
      <c r="H31" s="3561">
        <v>1</v>
      </c>
      <c r="I31" s="3549" t="s">
        <v>3533</v>
      </c>
      <c r="J31" s="3550">
        <v>1985</v>
      </c>
      <c r="K31" s="3561">
        <f>C54/100</f>
        <v>0.97400000000000009</v>
      </c>
      <c r="L31" s="3549" t="s">
        <v>669</v>
      </c>
      <c r="M31" s="3543" t="s">
        <v>3682</v>
      </c>
      <c r="N31" s="3563">
        <f t="shared" si="5"/>
        <v>0.85</v>
      </c>
      <c r="O31" s="3803"/>
      <c r="P31" s="3800"/>
      <c r="Q31" s="3543">
        <f t="shared" si="1"/>
        <v>3.44</v>
      </c>
      <c r="R31" s="3543">
        <f t="shared" si="0"/>
        <v>137.6</v>
      </c>
      <c r="S31" s="3543"/>
      <c r="T31" s="3543"/>
    </row>
    <row r="32" spans="1:20" ht="12.75">
      <c r="A32" s="3790">
        <v>6</v>
      </c>
      <c r="B32" s="3791" t="s">
        <v>3625</v>
      </c>
      <c r="C32" s="3791"/>
      <c r="D32" s="3550">
        <v>321.85000000000002</v>
      </c>
      <c r="E32" s="3561">
        <f>G51</f>
        <v>0.96</v>
      </c>
      <c r="F32" s="3550" t="s">
        <v>39</v>
      </c>
      <c r="G32" s="3550">
        <v>1</v>
      </c>
      <c r="H32" s="3561">
        <v>1</v>
      </c>
      <c r="I32" s="3549" t="s">
        <v>3533</v>
      </c>
      <c r="J32" s="3550">
        <v>1993</v>
      </c>
      <c r="K32" s="3561">
        <f>F54/100</f>
        <v>0.99</v>
      </c>
      <c r="L32" s="3549" t="s">
        <v>669</v>
      </c>
      <c r="M32" s="3543" t="s">
        <v>3682</v>
      </c>
      <c r="N32" s="3563">
        <f t="shared" si="5"/>
        <v>0.85</v>
      </c>
      <c r="O32" s="3803"/>
      <c r="P32" s="3800"/>
      <c r="Q32" s="3543">
        <f t="shared" si="1"/>
        <v>3.23</v>
      </c>
      <c r="R32" s="3543">
        <f t="shared" si="0"/>
        <v>1039.58</v>
      </c>
      <c r="S32" s="3543"/>
      <c r="T32" s="3543"/>
    </row>
    <row r="33" spans="1:20" ht="12.75">
      <c r="A33" s="3790"/>
      <c r="B33" s="3791"/>
      <c r="C33" s="3791"/>
      <c r="D33" s="3550">
        <v>137.52000000000001</v>
      </c>
      <c r="E33" s="3561">
        <f>E51</f>
        <v>1</v>
      </c>
      <c r="F33" s="3550" t="s">
        <v>39</v>
      </c>
      <c r="G33" s="3550">
        <v>2</v>
      </c>
      <c r="H33" s="3561">
        <f>H3</f>
        <v>0.7</v>
      </c>
      <c r="I33" s="3549" t="s">
        <v>3533</v>
      </c>
      <c r="J33" s="3550">
        <v>1993</v>
      </c>
      <c r="K33" s="3561">
        <f>F54/100</f>
        <v>0.99</v>
      </c>
      <c r="L33" s="3549" t="s">
        <v>669</v>
      </c>
      <c r="M33" s="3543" t="s">
        <v>3682</v>
      </c>
      <c r="N33" s="3563">
        <f t="shared" si="5"/>
        <v>0.85</v>
      </c>
      <c r="O33" s="3803"/>
      <c r="P33" s="3800"/>
      <c r="Q33" s="3543">
        <f t="shared" si="1"/>
        <v>2.35</v>
      </c>
      <c r="R33" s="3543">
        <f t="shared" si="0"/>
        <v>323.17</v>
      </c>
      <c r="S33" s="3543"/>
      <c r="T33" s="3543"/>
    </row>
    <row r="34" spans="1:20" ht="12.75">
      <c r="A34" s="3790">
        <v>7</v>
      </c>
      <c r="B34" s="3791" t="s">
        <v>3626</v>
      </c>
      <c r="C34" s="3791"/>
      <c r="D34" s="3550">
        <v>177.28</v>
      </c>
      <c r="E34" s="3561">
        <f>E51</f>
        <v>1</v>
      </c>
      <c r="F34" s="3790">
        <v>84.62</v>
      </c>
      <c r="G34" s="3550">
        <v>1</v>
      </c>
      <c r="H34" s="3561">
        <v>1</v>
      </c>
      <c r="I34" s="3549" t="s">
        <v>3533</v>
      </c>
      <c r="J34" s="3550">
        <v>1991</v>
      </c>
      <c r="K34" s="3561">
        <f>E54/100</f>
        <v>0.98599999999999999</v>
      </c>
      <c r="L34" s="3549" t="s">
        <v>669</v>
      </c>
      <c r="M34" s="3543" t="s">
        <v>3682</v>
      </c>
      <c r="N34" s="3563">
        <f t="shared" si="5"/>
        <v>0.85</v>
      </c>
      <c r="O34" s="3803"/>
      <c r="P34" s="3800"/>
      <c r="Q34" s="3543">
        <f t="shared" si="1"/>
        <v>3.35</v>
      </c>
      <c r="R34" s="3543">
        <f t="shared" si="0"/>
        <v>593.89</v>
      </c>
      <c r="S34" s="3805">
        <f>ROUND(S43*0.9,0)</f>
        <v>2</v>
      </c>
      <c r="T34" s="3796">
        <f>ROUND(F34*S34,2)</f>
        <v>169.24</v>
      </c>
    </row>
    <row r="35" spans="1:20" ht="12.75">
      <c r="A35" s="3790"/>
      <c r="B35" s="3791"/>
      <c r="C35" s="3791"/>
      <c r="D35" s="3550">
        <v>158.58000000000001</v>
      </c>
      <c r="E35" s="3561">
        <f>E51</f>
        <v>1</v>
      </c>
      <c r="F35" s="3790"/>
      <c r="G35" s="3550">
        <v>2</v>
      </c>
      <c r="H35" s="3561">
        <f>H3</f>
        <v>0.7</v>
      </c>
      <c r="I35" s="3549" t="s">
        <v>3533</v>
      </c>
      <c r="J35" s="3550">
        <v>1991</v>
      </c>
      <c r="K35" s="3561">
        <f>E54/100</f>
        <v>0.98599999999999999</v>
      </c>
      <c r="L35" s="3549" t="s">
        <v>669</v>
      </c>
      <c r="M35" s="3543" t="s">
        <v>3682</v>
      </c>
      <c r="N35" s="3563">
        <f t="shared" si="5"/>
        <v>0.85</v>
      </c>
      <c r="O35" s="3803"/>
      <c r="P35" s="3800"/>
      <c r="Q35" s="3543">
        <f t="shared" si="1"/>
        <v>2.34</v>
      </c>
      <c r="R35" s="3543">
        <f t="shared" si="0"/>
        <v>371.08</v>
      </c>
      <c r="S35" s="3805"/>
      <c r="T35" s="3797"/>
    </row>
    <row r="36" spans="1:20" ht="12.75">
      <c r="A36" s="3550">
        <v>8</v>
      </c>
      <c r="B36" s="3791" t="s">
        <v>3627</v>
      </c>
      <c r="C36" s="3791"/>
      <c r="D36" s="3550">
        <v>45.35</v>
      </c>
      <c r="E36" s="3561">
        <f>C51</f>
        <v>1.04</v>
      </c>
      <c r="F36" s="3550" t="s">
        <v>39</v>
      </c>
      <c r="G36" s="3550">
        <v>1</v>
      </c>
      <c r="H36" s="3561">
        <v>1</v>
      </c>
      <c r="I36" s="3549" t="s">
        <v>3533</v>
      </c>
      <c r="J36" s="3550">
        <v>1998</v>
      </c>
      <c r="K36" s="3561">
        <f>H54</f>
        <v>1</v>
      </c>
      <c r="L36" s="3549" t="s">
        <v>669</v>
      </c>
      <c r="M36" s="3543" t="s">
        <v>3682</v>
      </c>
      <c r="N36" s="3563">
        <f t="shared" si="5"/>
        <v>0.85</v>
      </c>
      <c r="O36" s="3803"/>
      <c r="P36" s="3800"/>
      <c r="Q36" s="3543">
        <f t="shared" si="1"/>
        <v>3.53</v>
      </c>
      <c r="R36" s="3543">
        <f t="shared" si="0"/>
        <v>160.09</v>
      </c>
      <c r="S36" s="3543"/>
      <c r="T36" s="3543"/>
    </row>
    <row r="37" spans="1:20" ht="12.75">
      <c r="A37" s="3550">
        <v>9</v>
      </c>
      <c r="B37" s="3791" t="s">
        <v>3628</v>
      </c>
      <c r="C37" s="3791"/>
      <c r="D37" s="3550">
        <v>105.84</v>
      </c>
      <c r="E37" s="3561">
        <f>E51</f>
        <v>1</v>
      </c>
      <c r="F37" s="3550" t="s">
        <v>39</v>
      </c>
      <c r="G37" s="3550">
        <v>2</v>
      </c>
      <c r="H37" s="3561">
        <f>H3</f>
        <v>0.7</v>
      </c>
      <c r="I37" s="3549" t="s">
        <v>3533</v>
      </c>
      <c r="J37" s="3550">
        <v>1988</v>
      </c>
      <c r="K37" s="3561">
        <f>D54/100</f>
        <v>0.98</v>
      </c>
      <c r="L37" s="3549" t="s">
        <v>669</v>
      </c>
      <c r="M37" s="3543" t="s">
        <v>3682</v>
      </c>
      <c r="N37" s="3563">
        <f t="shared" si="5"/>
        <v>0.85</v>
      </c>
      <c r="O37" s="3803"/>
      <c r="P37" s="3800"/>
      <c r="Q37" s="3543">
        <f t="shared" si="1"/>
        <v>2.33</v>
      </c>
      <c r="R37" s="3543">
        <f t="shared" si="0"/>
        <v>246.61</v>
      </c>
      <c r="S37" s="3543"/>
      <c r="T37" s="3543"/>
    </row>
    <row r="38" spans="1:20" ht="12.75">
      <c r="A38" s="3790">
        <v>10</v>
      </c>
      <c r="B38" s="3791" t="s">
        <v>3629</v>
      </c>
      <c r="C38" s="3791"/>
      <c r="D38" s="3550">
        <v>154.35</v>
      </c>
      <c r="E38" s="3561">
        <f>E51</f>
        <v>1</v>
      </c>
      <c r="F38" s="3790">
        <v>109.65</v>
      </c>
      <c r="G38" s="3550">
        <v>1</v>
      </c>
      <c r="H38" s="3561">
        <v>1</v>
      </c>
      <c r="I38" s="3549" t="s">
        <v>3533</v>
      </c>
      <c r="J38" s="3550">
        <v>1995</v>
      </c>
      <c r="K38" s="3561">
        <f>G54/100</f>
        <v>0.99400000000000011</v>
      </c>
      <c r="L38" s="3549" t="s">
        <v>669</v>
      </c>
      <c r="M38" s="3543" t="s">
        <v>3682</v>
      </c>
      <c r="N38" s="3563">
        <f t="shared" si="5"/>
        <v>0.85</v>
      </c>
      <c r="O38" s="3803"/>
      <c r="P38" s="3800"/>
      <c r="Q38" s="3543">
        <f t="shared" si="1"/>
        <v>3.38</v>
      </c>
      <c r="R38" s="3543">
        <f t="shared" si="0"/>
        <v>521.70000000000005</v>
      </c>
      <c r="S38" s="3805">
        <f>ROUND(S43*0.9,0)</f>
        <v>2</v>
      </c>
      <c r="T38" s="3796">
        <f>ROUND(S38*F38,2)</f>
        <v>219.3</v>
      </c>
    </row>
    <row r="39" spans="1:20" ht="12.75">
      <c r="A39" s="3790"/>
      <c r="B39" s="3791"/>
      <c r="C39" s="3791"/>
      <c r="D39" s="3550">
        <v>171</v>
      </c>
      <c r="E39" s="3561">
        <f>E51</f>
        <v>1</v>
      </c>
      <c r="F39" s="3790"/>
      <c r="G39" s="3550">
        <v>2</v>
      </c>
      <c r="H39" s="3561">
        <f>H3</f>
        <v>0.7</v>
      </c>
      <c r="I39" s="3549" t="s">
        <v>3533</v>
      </c>
      <c r="J39" s="3550">
        <v>1995</v>
      </c>
      <c r="K39" s="3561">
        <f>G54/100</f>
        <v>0.99400000000000011</v>
      </c>
      <c r="L39" s="3549" t="s">
        <v>669</v>
      </c>
      <c r="M39" s="3543" t="s">
        <v>3682</v>
      </c>
      <c r="N39" s="3563">
        <f t="shared" si="5"/>
        <v>0.85</v>
      </c>
      <c r="O39" s="3803"/>
      <c r="P39" s="3800"/>
      <c r="Q39" s="3543">
        <f t="shared" si="1"/>
        <v>2.36</v>
      </c>
      <c r="R39" s="3543">
        <f t="shared" si="0"/>
        <v>403.56</v>
      </c>
      <c r="S39" s="3805"/>
      <c r="T39" s="3797"/>
    </row>
    <row r="40" spans="1:20" ht="28.5" customHeight="1">
      <c r="A40" s="3553">
        <v>11</v>
      </c>
      <c r="B40" s="3795" t="s">
        <v>3630</v>
      </c>
      <c r="C40" s="3795"/>
      <c r="D40" s="3553">
        <v>140</v>
      </c>
      <c r="E40" s="3562">
        <f>E51</f>
        <v>1</v>
      </c>
      <c r="F40" s="3553" t="s">
        <v>39</v>
      </c>
      <c r="G40" s="3553">
        <v>1</v>
      </c>
      <c r="H40" s="3562">
        <v>1</v>
      </c>
      <c r="I40" s="3554" t="s">
        <v>3533</v>
      </c>
      <c r="J40" s="3553">
        <v>1998</v>
      </c>
      <c r="K40" s="3562">
        <f>H54</f>
        <v>1</v>
      </c>
      <c r="L40" s="3554" t="s">
        <v>669</v>
      </c>
      <c r="M40" s="3555" t="s">
        <v>3684</v>
      </c>
      <c r="N40" s="3565">
        <v>1</v>
      </c>
      <c r="O40" s="3803"/>
      <c r="P40" s="3800"/>
      <c r="Q40" s="3555">
        <f>'租金比较法-商业'!C49*P2</f>
        <v>6.6599999999999993</v>
      </c>
      <c r="R40" s="3543">
        <f t="shared" si="0"/>
        <v>932.4</v>
      </c>
      <c r="S40" s="3566"/>
      <c r="T40" s="3566"/>
    </row>
    <row r="41" spans="1:20" ht="12.75">
      <c r="A41" s="3790">
        <v>12</v>
      </c>
      <c r="B41" s="3791" t="s">
        <v>3631</v>
      </c>
      <c r="C41" s="3791"/>
      <c r="D41" s="3550">
        <v>640</v>
      </c>
      <c r="E41" s="3561">
        <f>H51</f>
        <v>0.94</v>
      </c>
      <c r="F41" s="3550" t="s">
        <v>39</v>
      </c>
      <c r="G41" s="3550" t="s">
        <v>3632</v>
      </c>
      <c r="H41" s="3561">
        <v>0.5</v>
      </c>
      <c r="I41" s="3549" t="s">
        <v>3533</v>
      </c>
      <c r="J41" s="3550">
        <v>2008</v>
      </c>
      <c r="K41" s="3561">
        <f>J54/100</f>
        <v>1.02</v>
      </c>
      <c r="L41" s="3549" t="s">
        <v>669</v>
      </c>
      <c r="M41" s="3792" t="s">
        <v>3685</v>
      </c>
      <c r="N41" s="3563">
        <v>1</v>
      </c>
      <c r="O41" s="3803"/>
      <c r="P41" s="3800"/>
      <c r="Q41" s="3543">
        <f>ROUND($Q$40*E41*H41*K41*N41*$P$2,2)</f>
        <v>1.92</v>
      </c>
      <c r="R41" s="3543">
        <f t="shared" si="0"/>
        <v>1228.8</v>
      </c>
      <c r="S41" s="3543"/>
      <c r="T41" s="3543"/>
    </row>
    <row r="42" spans="1:20" ht="12.75">
      <c r="A42" s="3790"/>
      <c r="B42" s="3791"/>
      <c r="C42" s="3791"/>
      <c r="D42" s="3550">
        <v>640</v>
      </c>
      <c r="E42" s="3561">
        <f>H51</f>
        <v>0.94</v>
      </c>
      <c r="F42" s="3550" t="s">
        <v>39</v>
      </c>
      <c r="G42" s="3550">
        <v>1</v>
      </c>
      <c r="H42" s="3561">
        <v>1</v>
      </c>
      <c r="I42" s="3549" t="s">
        <v>3533</v>
      </c>
      <c r="J42" s="3550">
        <v>2008</v>
      </c>
      <c r="K42" s="3561">
        <f>J54/100</f>
        <v>1.02</v>
      </c>
      <c r="L42" s="3549" t="s">
        <v>669</v>
      </c>
      <c r="M42" s="3792"/>
      <c r="N42" s="3563">
        <v>1</v>
      </c>
      <c r="O42" s="3803"/>
      <c r="P42" s="3800"/>
      <c r="Q42" s="3543">
        <f>ROUND($Q$40*E42*H42*K42*N42*$P$2,2)</f>
        <v>3.83</v>
      </c>
      <c r="R42" s="3543">
        <f t="shared" si="0"/>
        <v>2451.1999999999998</v>
      </c>
      <c r="S42" s="3543"/>
      <c r="T42" s="3543"/>
    </row>
    <row r="43" spans="1:20" ht="12.75">
      <c r="A43" s="3550">
        <v>13</v>
      </c>
      <c r="B43" s="3795" t="s">
        <v>3633</v>
      </c>
      <c r="C43" s="3795"/>
      <c r="D43" s="3550" t="s">
        <v>39</v>
      </c>
      <c r="E43" s="3561"/>
      <c r="F43" s="3550">
        <v>9</v>
      </c>
      <c r="G43" s="3550" t="s">
        <v>39</v>
      </c>
      <c r="H43" s="3561"/>
      <c r="I43" s="3550" t="s">
        <v>3634</v>
      </c>
      <c r="J43" s="3550" t="s">
        <v>39</v>
      </c>
      <c r="K43" s="3561"/>
      <c r="L43" s="3549" t="s">
        <v>669</v>
      </c>
      <c r="M43" s="3543"/>
      <c r="N43" s="3563"/>
      <c r="O43" s="3803"/>
      <c r="P43" s="3800"/>
      <c r="Q43" s="3543"/>
      <c r="R43" s="3543">
        <v>0</v>
      </c>
      <c r="S43" s="3576">
        <f>ROUND(T43/F43,2)</f>
        <v>2.2200000000000002</v>
      </c>
      <c r="T43" s="3576">
        <f>ROUND('土地比较法-住宅、综合'!C47/30*2,2)</f>
        <v>20</v>
      </c>
    </row>
    <row r="44" spans="1:20" ht="12.75">
      <c r="A44" s="3550">
        <v>14</v>
      </c>
      <c r="B44" s="3791" t="s">
        <v>3697</v>
      </c>
      <c r="C44" s="3791"/>
      <c r="D44" s="3550" t="s">
        <v>39</v>
      </c>
      <c r="E44" s="3561"/>
      <c r="F44" s="3550">
        <v>12</v>
      </c>
      <c r="G44" s="3550" t="s">
        <v>39</v>
      </c>
      <c r="H44" s="3561"/>
      <c r="I44" s="3550" t="s">
        <v>3635</v>
      </c>
      <c r="J44" s="3550" t="s">
        <v>39</v>
      </c>
      <c r="K44" s="3561"/>
      <c r="L44" s="3549" t="s">
        <v>669</v>
      </c>
      <c r="M44" s="3543"/>
      <c r="N44" s="3563"/>
      <c r="O44" s="3803"/>
      <c r="P44" s="3800"/>
      <c r="Q44" s="3543"/>
      <c r="R44" s="3543">
        <v>0</v>
      </c>
      <c r="S44" s="3573">
        <f>S43</f>
        <v>2.2200000000000002</v>
      </c>
      <c r="T44" s="3573">
        <f>ROUND(F44*S44,2)</f>
        <v>26.64</v>
      </c>
    </row>
    <row r="45" spans="1:20" ht="12.75">
      <c r="A45" s="3550">
        <v>15</v>
      </c>
      <c r="B45" s="3791" t="s">
        <v>3636</v>
      </c>
      <c r="C45" s="3791"/>
      <c r="D45" s="3550" t="s">
        <v>39</v>
      </c>
      <c r="E45" s="3561"/>
      <c r="F45" s="3550">
        <v>20</v>
      </c>
      <c r="G45" s="3550" t="s">
        <v>39</v>
      </c>
      <c r="H45" s="3561"/>
      <c r="I45" s="3550" t="s">
        <v>3637</v>
      </c>
      <c r="J45" s="3550" t="s">
        <v>39</v>
      </c>
      <c r="K45" s="3561"/>
      <c r="L45" s="3549" t="s">
        <v>669</v>
      </c>
      <c r="M45" s="3543"/>
      <c r="N45" s="3563"/>
      <c r="O45" s="3803"/>
      <c r="P45" s="3800"/>
      <c r="Q45" s="3543"/>
      <c r="R45" s="3543">
        <v>0</v>
      </c>
      <c r="S45" s="3573">
        <f>S43</f>
        <v>2.2200000000000002</v>
      </c>
      <c r="T45" s="3573">
        <f>ROUND(S45*F45,0)</f>
        <v>44</v>
      </c>
    </row>
    <row r="46" spans="1:20" ht="12.75">
      <c r="A46" s="3791" t="s">
        <v>3638</v>
      </c>
      <c r="B46" s="3791"/>
      <c r="C46" s="3791"/>
      <c r="D46" s="3550">
        <v>6907.16</v>
      </c>
      <c r="E46" s="3561"/>
      <c r="F46" s="3550">
        <v>235.27</v>
      </c>
      <c r="G46" s="3550" t="s">
        <v>39</v>
      </c>
      <c r="H46" s="3561"/>
      <c r="I46" s="3550" t="s">
        <v>39</v>
      </c>
      <c r="J46" s="3550" t="s">
        <v>39</v>
      </c>
      <c r="K46" s="3561"/>
      <c r="L46" s="3550" t="s">
        <v>39</v>
      </c>
      <c r="M46" s="3543"/>
      <c r="N46" s="3563"/>
      <c r="O46" s="3804"/>
      <c r="P46" s="3801"/>
      <c r="Q46" s="3543"/>
      <c r="R46" s="3543">
        <f>SUM(R2:R45)</f>
        <v>19852.910000000007</v>
      </c>
      <c r="S46" s="3543"/>
      <c r="T46" s="3543">
        <f>SUM(T34:T45)</f>
        <v>479.18</v>
      </c>
    </row>
    <row r="47" spans="1:20">
      <c r="O47" s="3551"/>
      <c r="Q47" s="3572" t="s">
        <v>3686</v>
      </c>
      <c r="R47" s="3572">
        <f>ROUND(R46/D46,2)</f>
        <v>2.87</v>
      </c>
      <c r="T47" s="3551">
        <f>ROUND(T46/F46,2)</f>
        <v>2.04</v>
      </c>
    </row>
    <row r="48" spans="1:20">
      <c r="O48" s="3551"/>
      <c r="R48" s="3551" t="s">
        <v>3700</v>
      </c>
      <c r="T48" s="3551" t="s">
        <v>3701</v>
      </c>
    </row>
    <row r="49" spans="1:15" ht="24">
      <c r="A49" s="3551" t="s">
        <v>3679</v>
      </c>
      <c r="B49" s="3551">
        <v>0</v>
      </c>
      <c r="C49" s="3551">
        <v>50</v>
      </c>
      <c r="D49" s="3551">
        <v>100</v>
      </c>
      <c r="E49" s="3551">
        <v>200</v>
      </c>
      <c r="F49" s="3551">
        <v>300</v>
      </c>
      <c r="G49" s="3551">
        <v>500</v>
      </c>
      <c r="H49" s="3551">
        <v>800</v>
      </c>
      <c r="I49" s="3551">
        <v>1200</v>
      </c>
      <c r="J49" s="3551">
        <v>1600</v>
      </c>
      <c r="K49" s="3551">
        <v>2000</v>
      </c>
      <c r="O49" s="3551"/>
    </row>
    <row r="50" spans="1:15">
      <c r="B50" s="3551">
        <v>100</v>
      </c>
      <c r="C50" s="3551">
        <v>98</v>
      </c>
      <c r="D50" s="3551">
        <v>96</v>
      </c>
      <c r="E50" s="3551">
        <v>94</v>
      </c>
      <c r="F50" s="3551">
        <v>92</v>
      </c>
      <c r="G50" s="3551">
        <v>90</v>
      </c>
      <c r="H50" s="3551">
        <v>88</v>
      </c>
      <c r="I50" s="3551">
        <v>86</v>
      </c>
      <c r="J50" s="3551">
        <v>84</v>
      </c>
      <c r="K50" s="3551">
        <v>82</v>
      </c>
      <c r="O50" s="3551"/>
    </row>
    <row r="51" spans="1:15">
      <c r="A51" s="3551" t="s">
        <v>3680</v>
      </c>
      <c r="B51" s="3551">
        <v>1.06</v>
      </c>
      <c r="C51" s="3551">
        <v>1.04</v>
      </c>
      <c r="D51" s="3551">
        <v>1.02</v>
      </c>
      <c r="E51" s="3551">
        <v>1</v>
      </c>
      <c r="F51" s="3551">
        <v>0.98</v>
      </c>
      <c r="G51" s="3551">
        <v>0.96</v>
      </c>
      <c r="H51" s="3551">
        <v>0.94</v>
      </c>
      <c r="I51" s="3551">
        <v>0.92</v>
      </c>
      <c r="J51" s="3551">
        <v>0.9</v>
      </c>
      <c r="K51" s="3551">
        <v>0.88</v>
      </c>
      <c r="O51" s="3551"/>
    </row>
    <row r="52" spans="1:15">
      <c r="O52" s="3551"/>
    </row>
    <row r="53" spans="1:15" ht="24">
      <c r="A53" s="3551" t="s">
        <v>3681</v>
      </c>
      <c r="B53" s="3551">
        <v>1983</v>
      </c>
      <c r="C53" s="3551">
        <v>1985</v>
      </c>
      <c r="D53" s="3551">
        <v>1988</v>
      </c>
      <c r="E53" s="3551">
        <v>1991</v>
      </c>
      <c r="F53" s="3551">
        <v>1993</v>
      </c>
      <c r="G53" s="3551">
        <v>1995</v>
      </c>
      <c r="H53" s="3551">
        <v>1998</v>
      </c>
      <c r="I53" s="3551">
        <v>2002</v>
      </c>
      <c r="J53" s="3551">
        <v>2008</v>
      </c>
      <c r="O53" s="3551"/>
    </row>
    <row r="54" spans="1:15">
      <c r="A54" s="3551">
        <v>0.2</v>
      </c>
      <c r="B54" s="3551">
        <f>100-$A$54*($H$53-B53)</f>
        <v>97</v>
      </c>
      <c r="C54" s="3551">
        <f t="shared" ref="C54:G54" si="8">100-$A$54*($H$53-C53)</f>
        <v>97.4</v>
      </c>
      <c r="D54" s="3551">
        <f t="shared" si="8"/>
        <v>98</v>
      </c>
      <c r="E54" s="3551">
        <f t="shared" si="8"/>
        <v>98.6</v>
      </c>
      <c r="F54" s="3551">
        <f t="shared" si="8"/>
        <v>99</v>
      </c>
      <c r="G54" s="3551">
        <f t="shared" si="8"/>
        <v>99.4</v>
      </c>
      <c r="H54" s="3551">
        <v>1</v>
      </c>
      <c r="I54" s="3551">
        <f>100+$A$54*(I53-$H$53)</f>
        <v>100.8</v>
      </c>
      <c r="J54" s="3551">
        <f>100+$A$54*(J53-$H$53)</f>
        <v>102</v>
      </c>
      <c r="O54" s="3551"/>
    </row>
    <row r="55" spans="1:15">
      <c r="O55" s="3551"/>
    </row>
    <row r="56" spans="1:15">
      <c r="O56" s="3551"/>
    </row>
    <row r="57" spans="1:15">
      <c r="O57" s="3551"/>
    </row>
    <row r="58" spans="1:15">
      <c r="O58" s="3551"/>
    </row>
    <row r="59" spans="1:15">
      <c r="O59" s="3551"/>
    </row>
    <row r="60" spans="1:15">
      <c r="O60" s="3551"/>
    </row>
  </sheetData>
  <mergeCells count="51">
    <mergeCell ref="T34:T35"/>
    <mergeCell ref="T38:T39"/>
    <mergeCell ref="N2:N3"/>
    <mergeCell ref="N4:N5"/>
    <mergeCell ref="P2:P46"/>
    <mergeCell ref="O2:O46"/>
    <mergeCell ref="S34:S35"/>
    <mergeCell ref="S38:S39"/>
    <mergeCell ref="A46:C46"/>
    <mergeCell ref="M41:M42"/>
    <mergeCell ref="M2:M3"/>
    <mergeCell ref="M4:M5"/>
    <mergeCell ref="K2:K3"/>
    <mergeCell ref="K4:K5"/>
    <mergeCell ref="B40:C40"/>
    <mergeCell ref="A41:A42"/>
    <mergeCell ref="B41:C42"/>
    <mergeCell ref="B43:C43"/>
    <mergeCell ref="B44:C44"/>
    <mergeCell ref="B45:C45"/>
    <mergeCell ref="F34:F35"/>
    <mergeCell ref="B36:C36"/>
    <mergeCell ref="B37:C37"/>
    <mergeCell ref="A38:A39"/>
    <mergeCell ref="B38:C39"/>
    <mergeCell ref="F38:F39"/>
    <mergeCell ref="B30:C30"/>
    <mergeCell ref="B31:C31"/>
    <mergeCell ref="A32:A33"/>
    <mergeCell ref="B32:C33"/>
    <mergeCell ref="A34:A35"/>
    <mergeCell ref="B34:C35"/>
    <mergeCell ref="A6:A16"/>
    <mergeCell ref="B6:B16"/>
    <mergeCell ref="A17:A25"/>
    <mergeCell ref="B17:B25"/>
    <mergeCell ref="A26:A29"/>
    <mergeCell ref="B26:B29"/>
    <mergeCell ref="J2:J3"/>
    <mergeCell ref="L2:L3"/>
    <mergeCell ref="C4:C5"/>
    <mergeCell ref="F4:F5"/>
    <mergeCell ref="I4:I5"/>
    <mergeCell ref="J4:J5"/>
    <mergeCell ref="L4:L5"/>
    <mergeCell ref="I2:I3"/>
    <mergeCell ref="B1:C1"/>
    <mergeCell ref="A2:A5"/>
    <mergeCell ref="B2:B5"/>
    <mergeCell ref="C2:C3"/>
    <mergeCell ref="F2:F3"/>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4" zoomScale="90" zoomScaleNormal="70" zoomScaleSheetLayoutView="90" workbookViewId="0">
      <selection activeCell="F50" sqref="F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t="s">
        <v>669</v>
      </c>
      <c r="E1" s="3421"/>
      <c r="F1" s="1879" t="s">
        <v>3641</v>
      </c>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t="s">
        <v>39</v>
      </c>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11.1</v>
      </c>
      <c r="C3" s="354" t="s">
        <v>1760</v>
      </c>
      <c r="D3" s="353">
        <f>IF(D1="",'数据-汇总表'!E3,SUMIF('数据-汇总表'!$C19:$C33,D1,'数据-汇总表'!$E19:$E33))</f>
        <v>140</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5" t="s">
        <v>1762</v>
      </c>
      <c r="D4" s="3826"/>
      <c r="E4" s="3827" t="s">
        <v>1763</v>
      </c>
      <c r="F4" s="3828"/>
      <c r="G4" s="3825" t="s">
        <v>1764</v>
      </c>
      <c r="H4" s="3826"/>
      <c r="I4" s="3825" t="s">
        <v>1765</v>
      </c>
      <c r="J4" s="3826"/>
      <c r="K4" s="559" t="s">
        <v>1766</v>
      </c>
      <c r="L4" s="2712"/>
      <c r="M4" s="2713"/>
      <c r="N4" s="2713"/>
      <c r="O4" s="2713"/>
      <c r="P4" s="3829" t="s">
        <v>1767</v>
      </c>
      <c r="Q4" s="3830"/>
      <c r="R4" s="3835" t="s">
        <v>1763</v>
      </c>
      <c r="S4" s="3836"/>
      <c r="T4" s="3835" t="s">
        <v>1764</v>
      </c>
      <c r="U4" s="3836"/>
      <c r="V4" s="3820" t="s">
        <v>1765</v>
      </c>
      <c r="W4" s="3820"/>
      <c r="X4" s="1355"/>
      <c r="Y4" s="3835" t="s">
        <v>1767</v>
      </c>
      <c r="Z4" s="3836"/>
      <c r="AA4" s="3822" t="s">
        <v>1763</v>
      </c>
      <c r="AB4" s="3820" t="s">
        <v>1764</v>
      </c>
      <c r="AC4" s="3822" t="s">
        <v>1765</v>
      </c>
    </row>
    <row r="5" spans="1:29" ht="15">
      <c r="A5" s="358"/>
      <c r="B5" s="359"/>
      <c r="C5" s="3848" t="s">
        <v>3645</v>
      </c>
      <c r="D5" s="3844"/>
      <c r="E5" s="3853" t="s">
        <v>3643</v>
      </c>
      <c r="F5" s="3854"/>
      <c r="G5" s="3843" t="s">
        <v>1670</v>
      </c>
      <c r="H5" s="3844"/>
      <c r="I5" s="3848" t="s">
        <v>3649</v>
      </c>
      <c r="J5" s="3844"/>
      <c r="K5" s="559"/>
      <c r="L5" s="2712"/>
      <c r="M5" s="2713"/>
      <c r="N5" s="2713"/>
      <c r="O5" s="2713"/>
      <c r="P5" s="3831"/>
      <c r="Q5" s="3832"/>
      <c r="R5" s="3837"/>
      <c r="S5" s="3838"/>
      <c r="T5" s="3837"/>
      <c r="U5" s="3838"/>
      <c r="V5" s="3820"/>
      <c r="W5" s="3820"/>
      <c r="X5" s="1355"/>
      <c r="Y5" s="3837"/>
      <c r="Z5" s="3838"/>
      <c r="AA5" s="3823"/>
      <c r="AB5" s="3820"/>
      <c r="AC5" s="3823"/>
    </row>
    <row r="6" spans="1:29" ht="15.75" thickBot="1">
      <c r="A6" s="360"/>
      <c r="B6" s="361"/>
      <c r="C6" s="3849" t="s">
        <v>3642</v>
      </c>
      <c r="D6" s="3850"/>
      <c r="E6" s="3851" t="s">
        <v>3644</v>
      </c>
      <c r="F6" s="3852"/>
      <c r="G6" s="3841" t="s">
        <v>3646</v>
      </c>
      <c r="H6" s="3842"/>
      <c r="I6" s="3841" t="s">
        <v>3648</v>
      </c>
      <c r="J6" s="3842"/>
      <c r="K6" s="559" t="s">
        <v>1673</v>
      </c>
      <c r="L6" s="2712"/>
      <c r="M6" s="2713"/>
      <c r="N6" s="2713"/>
      <c r="O6" s="2713"/>
      <c r="P6" s="3833"/>
      <c r="Q6" s="3834"/>
      <c r="R6" s="3837"/>
      <c r="S6" s="3838"/>
      <c r="T6" s="3839"/>
      <c r="U6" s="3840"/>
      <c r="V6" s="3820"/>
      <c r="W6" s="3820"/>
      <c r="X6" s="1355"/>
      <c r="Y6" s="3839"/>
      <c r="Z6" s="3840"/>
      <c r="AA6" s="3824"/>
      <c r="AB6" s="3820"/>
      <c r="AC6" s="3824"/>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560"/>
      <c r="L7" s="2714"/>
      <c r="M7" s="2715"/>
      <c r="N7" s="2715"/>
      <c r="O7" s="2715"/>
      <c r="P7" s="3845" t="s">
        <v>1675</v>
      </c>
      <c r="Q7" s="3847"/>
      <c r="R7" s="701" t="s">
        <v>14</v>
      </c>
      <c r="S7" s="702">
        <f t="shared" ref="S7:S15" si="0">F7</f>
        <v>100</v>
      </c>
      <c r="T7" s="701" t="s">
        <v>14</v>
      </c>
      <c r="U7" s="702">
        <f t="shared" ref="U7:U15" si="1">H7</f>
        <v>100</v>
      </c>
      <c r="V7" s="701" t="s">
        <v>14</v>
      </c>
      <c r="W7" s="702">
        <f t="shared" ref="W7:W15" si="2">J7</f>
        <v>100</v>
      </c>
      <c r="X7" s="703"/>
      <c r="Y7" s="3845" t="s">
        <v>1675</v>
      </c>
      <c r="Z7" s="3846"/>
      <c r="AA7" s="704">
        <f>D7/F7</f>
        <v>1</v>
      </c>
      <c r="AB7" s="704">
        <f>D7/H7</f>
        <v>1</v>
      </c>
      <c r="AC7" s="704">
        <f>D7/J7</f>
        <v>1</v>
      </c>
    </row>
    <row r="8" spans="1:29" s="108" customFormat="1" ht="15.75" thickBot="1">
      <c r="A8" s="362" t="s">
        <v>1676</v>
      </c>
      <c r="B8" s="363"/>
      <c r="C8" s="368" t="s">
        <v>3501</v>
      </c>
      <c r="D8" s="365">
        <v>100</v>
      </c>
      <c r="E8" s="368" t="s">
        <v>3501</v>
      </c>
      <c r="F8" s="367">
        <f>SUMIF(61:61,E8,62:62)-SUMIF(61:61,C8,62:62)+100</f>
        <v>100</v>
      </c>
      <c r="G8" s="368" t="s">
        <v>3501</v>
      </c>
      <c r="H8" s="365">
        <f>SUMIF(61:61,G8,62:62)-SUMIF(61:61,C8,62:62)+100</f>
        <v>100</v>
      </c>
      <c r="I8" s="368" t="s">
        <v>3501</v>
      </c>
      <c r="J8" s="365">
        <f>SUMIF(61:61,I8,62:62)-SUMIF(61:61,C8,62:62)+100</f>
        <v>100</v>
      </c>
      <c r="K8" s="560"/>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46" si="3">D8/F8</f>
        <v>1</v>
      </c>
      <c r="AB8" s="704">
        <f t="shared" ref="AB8:AB46" si="4">D8/H8</f>
        <v>1</v>
      </c>
      <c r="AC8" s="704">
        <f t="shared" ref="AC8:AC46" si="5">D8/J8</f>
        <v>1</v>
      </c>
    </row>
    <row r="9" spans="1:29" s="108" customFormat="1" ht="15" thickBot="1">
      <c r="A9" s="369" t="s">
        <v>1679</v>
      </c>
      <c r="B9" s="63" t="s">
        <v>1680</v>
      </c>
      <c r="C9" s="3498" t="s">
        <v>3647</v>
      </c>
      <c r="D9" s="126">
        <v>100</v>
      </c>
      <c r="E9" s="371" t="s">
        <v>669</v>
      </c>
      <c r="F9" s="372">
        <f>SUMIF(63:63,E9,64:64)-SUMIF(63:63,C9,64:64)+100</f>
        <v>100</v>
      </c>
      <c r="G9" s="371" t="s">
        <v>669</v>
      </c>
      <c r="H9" s="126">
        <f>SUMIF(63:63,G9,64:64)-SUMIF(63:63,C9,64:64)+100</f>
        <v>100</v>
      </c>
      <c r="I9" s="371" t="s">
        <v>669</v>
      </c>
      <c r="J9" s="126">
        <f>SUMIF(63:63,I9,64:64)-SUMIF(63:63,C9,64:64)+100</f>
        <v>100</v>
      </c>
      <c r="K9" s="560"/>
      <c r="L9" s="2714"/>
      <c r="M9" s="2715"/>
      <c r="N9" s="2715"/>
      <c r="O9" s="2715"/>
      <c r="P9" s="3821" t="s">
        <v>1681</v>
      </c>
      <c r="Q9" s="1343" t="str">
        <f t="shared" ref="Q9:Q15" si="6">B9</f>
        <v>用途</v>
      </c>
      <c r="R9" s="701" t="s">
        <v>14</v>
      </c>
      <c r="S9" s="702">
        <f t="shared" si="0"/>
        <v>100</v>
      </c>
      <c r="T9" s="701" t="s">
        <v>14</v>
      </c>
      <c r="U9" s="702">
        <f t="shared" si="1"/>
        <v>100</v>
      </c>
      <c r="V9" s="701" t="s">
        <v>14</v>
      </c>
      <c r="W9" s="702">
        <f t="shared" si="2"/>
        <v>100</v>
      </c>
      <c r="X9" s="703"/>
      <c r="Y9" s="3667" t="s">
        <v>1682</v>
      </c>
      <c r="Z9" s="52" t="str">
        <f t="shared" ref="Z9:Z15" si="7">Q9</f>
        <v>用途</v>
      </c>
      <c r="AA9" s="704">
        <f t="shared" si="3"/>
        <v>1</v>
      </c>
      <c r="AB9" s="704">
        <f t="shared" si="4"/>
        <v>1</v>
      </c>
      <c r="AC9" s="704">
        <f t="shared" si="5"/>
        <v>1</v>
      </c>
    </row>
    <row r="10" spans="1:29" s="378" customFormat="1" ht="27" hidden="1">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821"/>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821"/>
      <c r="Q11" s="1343" t="str">
        <f t="shared" si="6"/>
        <v>容积率</v>
      </c>
      <c r="R11" s="701" t="s">
        <v>14</v>
      </c>
      <c r="S11" s="702">
        <f t="shared" si="0"/>
        <v>100</v>
      </c>
      <c r="T11" s="701" t="s">
        <v>14</v>
      </c>
      <c r="U11" s="702">
        <f t="shared" si="1"/>
        <v>100</v>
      </c>
      <c r="V11" s="701" t="s">
        <v>14</v>
      </c>
      <c r="W11" s="702">
        <f t="shared" si="2"/>
        <v>100</v>
      </c>
      <c r="X11" s="703"/>
      <c r="Y11" s="366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21"/>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21"/>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21"/>
      <c r="Q14" s="1343">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811" t="s">
        <v>1686</v>
      </c>
      <c r="Q15" s="1352" t="str">
        <f t="shared" si="6"/>
        <v>商业繁华度</v>
      </c>
      <c r="R15" s="705" t="s">
        <v>14</v>
      </c>
      <c r="S15" s="706">
        <f t="shared" si="0"/>
        <v>100</v>
      </c>
      <c r="T15" s="705" t="s">
        <v>14</v>
      </c>
      <c r="U15" s="706">
        <f t="shared" si="1"/>
        <v>100</v>
      </c>
      <c r="V15" s="705" t="s">
        <v>14</v>
      </c>
      <c r="W15" s="706">
        <f t="shared" si="2"/>
        <v>100</v>
      </c>
      <c r="X15" s="1355"/>
      <c r="Y15" s="3813" t="s">
        <v>1686</v>
      </c>
      <c r="Z15" s="1356" t="str">
        <f t="shared" si="7"/>
        <v>商业繁华度</v>
      </c>
      <c r="AA15" s="1353">
        <f t="shared" si="3"/>
        <v>1</v>
      </c>
      <c r="AB15" s="1353">
        <f t="shared" si="4"/>
        <v>1</v>
      </c>
      <c r="AC15" s="1353">
        <f t="shared" si="5"/>
        <v>1</v>
      </c>
    </row>
    <row r="16" spans="1:29" ht="15">
      <c r="A16" s="379"/>
      <c r="B16" s="397"/>
      <c r="C16" s="398" t="s">
        <v>3509</v>
      </c>
      <c r="D16" s="399"/>
      <c r="E16" s="398" t="s">
        <v>3509</v>
      </c>
      <c r="F16" s="400"/>
      <c r="G16" s="398" t="s">
        <v>3509</v>
      </c>
      <c r="H16" s="401"/>
      <c r="I16" s="398" t="s">
        <v>3509</v>
      </c>
      <c r="J16" s="399"/>
      <c r="K16" s="564"/>
      <c r="L16" s="2719"/>
      <c r="M16" s="2713"/>
      <c r="N16" s="2713"/>
      <c r="O16" s="2713"/>
      <c r="P16" s="3812"/>
      <c r="Q16" s="1352"/>
      <c r="R16" s="705"/>
      <c r="S16" s="706"/>
      <c r="T16" s="705"/>
      <c r="U16" s="706"/>
      <c r="V16" s="705"/>
      <c r="W16" s="706"/>
      <c r="X16" s="1355"/>
      <c r="Y16" s="3814"/>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812"/>
      <c r="Q17" s="1352" t="str">
        <f>B17</f>
        <v>交通便捷度</v>
      </c>
      <c r="R17" s="705" t="s">
        <v>14</v>
      </c>
      <c r="S17" s="706">
        <f>F17</f>
        <v>100</v>
      </c>
      <c r="T17" s="705" t="s">
        <v>14</v>
      </c>
      <c r="U17" s="706">
        <f>H17</f>
        <v>100</v>
      </c>
      <c r="V17" s="705" t="s">
        <v>14</v>
      </c>
      <c r="W17" s="706">
        <f>J17</f>
        <v>100</v>
      </c>
      <c r="X17" s="1355"/>
      <c r="Y17" s="3814"/>
      <c r="Z17" s="1356" t="str">
        <f>Q17</f>
        <v>交通便捷度</v>
      </c>
      <c r="AA17" s="1353">
        <f t="shared" si="3"/>
        <v>1</v>
      </c>
      <c r="AB17" s="1353">
        <f t="shared" si="4"/>
        <v>1</v>
      </c>
      <c r="AC17" s="1353">
        <f t="shared" si="5"/>
        <v>1</v>
      </c>
    </row>
    <row r="18" spans="1:29" ht="15">
      <c r="A18" s="379"/>
      <c r="B18" s="407"/>
      <c r="C18" s="1901" t="s">
        <v>3509</v>
      </c>
      <c r="D18" s="401"/>
      <c r="E18" s="1903" t="s">
        <v>3509</v>
      </c>
      <c r="F18" s="404"/>
      <c r="G18" s="1902" t="s">
        <v>3509</v>
      </c>
      <c r="H18" s="399"/>
      <c r="I18" s="1903" t="s">
        <v>3509</v>
      </c>
      <c r="J18" s="399"/>
      <c r="K18" s="564"/>
      <c r="L18" s="2719"/>
      <c r="M18" s="2713"/>
      <c r="N18" s="2713"/>
      <c r="O18" s="2713"/>
      <c r="P18" s="3812"/>
      <c r="Q18" s="1352"/>
      <c r="R18" s="705"/>
      <c r="S18" s="706"/>
      <c r="T18" s="705"/>
      <c r="U18" s="706"/>
      <c r="V18" s="705"/>
      <c r="W18" s="706"/>
      <c r="X18" s="1355"/>
      <c r="Y18" s="3814"/>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812"/>
      <c r="Q19" s="1352" t="str">
        <f>B19</f>
        <v>公共配套设施</v>
      </c>
      <c r="R19" s="705" t="s">
        <v>14</v>
      </c>
      <c r="S19" s="706">
        <f>F19</f>
        <v>100</v>
      </c>
      <c r="T19" s="705" t="s">
        <v>14</v>
      </c>
      <c r="U19" s="706">
        <f>H19</f>
        <v>100</v>
      </c>
      <c r="V19" s="705" t="s">
        <v>14</v>
      </c>
      <c r="W19" s="706">
        <f>J19</f>
        <v>100</v>
      </c>
      <c r="X19" s="1355"/>
      <c r="Y19" s="3814"/>
      <c r="Z19" s="1356" t="str">
        <f>Q19</f>
        <v>公共配套设施</v>
      </c>
      <c r="AA19" s="1353">
        <f t="shared" si="3"/>
        <v>1</v>
      </c>
      <c r="AB19" s="1353">
        <f t="shared" si="4"/>
        <v>1</v>
      </c>
      <c r="AC19" s="1353">
        <f t="shared" si="5"/>
        <v>1</v>
      </c>
    </row>
    <row r="20" spans="1:29" ht="15">
      <c r="A20" s="379"/>
      <c r="B20" s="407"/>
      <c r="C20" s="398" t="s">
        <v>3509</v>
      </c>
      <c r="D20" s="399"/>
      <c r="E20" s="1898" t="s">
        <v>3509</v>
      </c>
      <c r="F20" s="400"/>
      <c r="G20" s="1897" t="s">
        <v>3509</v>
      </c>
      <c r="H20" s="399"/>
      <c r="I20" s="1898" t="s">
        <v>3509</v>
      </c>
      <c r="J20" s="399"/>
      <c r="K20" s="564"/>
      <c r="L20" s="2719"/>
      <c r="M20" s="2713"/>
      <c r="N20" s="2713"/>
      <c r="O20" s="2713"/>
      <c r="P20" s="3812"/>
      <c r="Q20" s="1352"/>
      <c r="R20" s="705"/>
      <c r="S20" s="706"/>
      <c r="T20" s="705"/>
      <c r="U20" s="706"/>
      <c r="V20" s="705"/>
      <c r="W20" s="706"/>
      <c r="X20" s="1355"/>
      <c r="Y20" s="3814"/>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812"/>
      <c r="Q21" s="1352" t="str">
        <f>B21</f>
        <v>基础设施水平</v>
      </c>
      <c r="R21" s="705" t="s">
        <v>14</v>
      </c>
      <c r="S21" s="706">
        <f>F21</f>
        <v>100</v>
      </c>
      <c r="T21" s="705" t="s">
        <v>14</v>
      </c>
      <c r="U21" s="706">
        <f>H21</f>
        <v>100</v>
      </c>
      <c r="V21" s="705" t="s">
        <v>14</v>
      </c>
      <c r="W21" s="706">
        <f>J21</f>
        <v>100</v>
      </c>
      <c r="X21" s="1355"/>
      <c r="Y21" s="3814"/>
      <c r="Z21" s="1356" t="str">
        <f>Q21</f>
        <v>基础设施水平</v>
      </c>
      <c r="AA21" s="1353">
        <f t="shared" ref="AA21" si="8">D21/F21</f>
        <v>1</v>
      </c>
      <c r="AB21" s="1353">
        <f t="shared" ref="AB21" si="9">D21/H21</f>
        <v>1</v>
      </c>
      <c r="AC21" s="1353">
        <f t="shared" ref="AC21" si="10">D21/J21</f>
        <v>1</v>
      </c>
    </row>
    <row r="22" spans="1:29" ht="15">
      <c r="A22" s="379"/>
      <c r="B22" s="1131"/>
      <c r="C22" s="1901" t="s">
        <v>3512</v>
      </c>
      <c r="D22" s="399"/>
      <c r="E22" s="398" t="s">
        <v>3512</v>
      </c>
      <c r="F22" s="400"/>
      <c r="G22" s="398" t="s">
        <v>3512</v>
      </c>
      <c r="H22" s="399"/>
      <c r="I22" s="398" t="s">
        <v>3512</v>
      </c>
      <c r="J22" s="399"/>
      <c r="K22" s="1130"/>
      <c r="L22" s="2719"/>
      <c r="M22" s="2713"/>
      <c r="N22" s="2713"/>
      <c r="O22" s="2713"/>
      <c r="P22" s="3812"/>
      <c r="Q22" s="1352"/>
      <c r="R22" s="705"/>
      <c r="S22" s="706"/>
      <c r="T22" s="705"/>
      <c r="U22" s="706"/>
      <c r="V22" s="705"/>
      <c r="W22" s="706"/>
      <c r="X22" s="1355"/>
      <c r="Y22" s="3814"/>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812"/>
      <c r="Q23" s="1352" t="str">
        <f>B23</f>
        <v>自然及人文环境</v>
      </c>
      <c r="R23" s="705" t="s">
        <v>14</v>
      </c>
      <c r="S23" s="706">
        <f>F23</f>
        <v>100</v>
      </c>
      <c r="T23" s="705" t="s">
        <v>14</v>
      </c>
      <c r="U23" s="706">
        <f>H23</f>
        <v>100</v>
      </c>
      <c r="V23" s="705" t="s">
        <v>14</v>
      </c>
      <c r="W23" s="706">
        <f>J23</f>
        <v>100</v>
      </c>
      <c r="X23" s="1355"/>
      <c r="Y23" s="3814"/>
      <c r="Z23" s="1356" t="str">
        <f>Q23</f>
        <v>自然及人文环境</v>
      </c>
      <c r="AA23" s="1353">
        <f t="shared" si="3"/>
        <v>1</v>
      </c>
      <c r="AB23" s="1353">
        <f t="shared" si="4"/>
        <v>1</v>
      </c>
      <c r="AC23" s="1353">
        <f t="shared" si="5"/>
        <v>1</v>
      </c>
    </row>
    <row r="24" spans="1:29" ht="15">
      <c r="A24" s="379"/>
      <c r="B24" s="407"/>
      <c r="C24" s="398" t="s">
        <v>3509</v>
      </c>
      <c r="D24" s="399"/>
      <c r="E24" s="398" t="s">
        <v>3509</v>
      </c>
      <c r="F24" s="400"/>
      <c r="G24" s="398" t="s">
        <v>3509</v>
      </c>
      <c r="H24" s="399"/>
      <c r="I24" s="398" t="s">
        <v>3509</v>
      </c>
      <c r="J24" s="399"/>
      <c r="K24" s="564"/>
      <c r="L24" s="2719"/>
      <c r="M24" s="2713"/>
      <c r="N24" s="2713"/>
      <c r="O24" s="2713"/>
      <c r="P24" s="3812"/>
      <c r="Q24" s="1352"/>
      <c r="R24" s="705"/>
      <c r="S24" s="706"/>
      <c r="T24" s="705"/>
      <c r="U24" s="706"/>
      <c r="V24" s="705"/>
      <c r="W24" s="706"/>
      <c r="X24" s="1355"/>
      <c r="Y24" s="3814"/>
      <c r="Z24" s="1356"/>
      <c r="AA24" s="1353">
        <v>1</v>
      </c>
      <c r="AB24" s="1353">
        <v>1</v>
      </c>
      <c r="AC24" s="1353">
        <v>1</v>
      </c>
    </row>
    <row r="25" spans="1:29" ht="15">
      <c r="A25" s="379"/>
      <c r="B25" s="375" t="s">
        <v>1772</v>
      </c>
      <c r="C25" s="565" t="s">
        <v>3651</v>
      </c>
      <c r="D25" s="386">
        <v>100</v>
      </c>
      <c r="E25" s="565" t="s">
        <v>3652</v>
      </c>
      <c r="F25" s="412">
        <f>SUMIF(86:86,E25,87:87)-SUMIF(86:86,C25,87:87)+100</f>
        <v>95</v>
      </c>
      <c r="G25" s="565" t="s">
        <v>3654</v>
      </c>
      <c r="H25" s="386">
        <f>SUMIF(86:86,G25,87:87)-SUMIF(86:86,C25,87:87)+100</f>
        <v>85</v>
      </c>
      <c r="I25" s="565" t="s">
        <v>3652</v>
      </c>
      <c r="J25" s="386">
        <f>SUMIF(86:86,I25,87:87)-SUMIF(86:86,C25,87:87)+100</f>
        <v>95</v>
      </c>
      <c r="K25" s="561">
        <v>5</v>
      </c>
      <c r="L25" s="2719"/>
      <c r="M25" s="2713"/>
      <c r="N25" s="2713"/>
      <c r="O25" s="2713"/>
      <c r="P25" s="3812"/>
      <c r="Q25" s="1352" t="str">
        <f t="shared" ref="Q25:Q46" si="11">B25</f>
        <v>临街状况</v>
      </c>
      <c r="R25" s="705" t="s">
        <v>14</v>
      </c>
      <c r="S25" s="706">
        <f>F25</f>
        <v>95</v>
      </c>
      <c r="T25" s="705" t="s">
        <v>14</v>
      </c>
      <c r="U25" s="706">
        <f>H25</f>
        <v>85</v>
      </c>
      <c r="V25" s="705" t="s">
        <v>14</v>
      </c>
      <c r="W25" s="706">
        <f>J25</f>
        <v>95</v>
      </c>
      <c r="X25" s="1355"/>
      <c r="Y25" s="3814"/>
      <c r="Z25" s="1356" t="str">
        <f>Q25</f>
        <v>临街状况</v>
      </c>
      <c r="AA25" s="1353">
        <f t="shared" si="3"/>
        <v>1.0526315789473684</v>
      </c>
      <c r="AB25" s="1353">
        <f t="shared" si="4"/>
        <v>1.1764705882352942</v>
      </c>
      <c r="AC25" s="1353">
        <f t="shared" si="5"/>
        <v>1.0526315789473684</v>
      </c>
    </row>
    <row r="26" spans="1:29" ht="15">
      <c r="A26" s="379"/>
      <c r="B26" s="1133" t="s">
        <v>1773</v>
      </c>
      <c r="C26" s="3557" t="s">
        <v>3656</v>
      </c>
      <c r="D26" s="386">
        <v>100</v>
      </c>
      <c r="E26" s="3557" t="s">
        <v>3656</v>
      </c>
      <c r="F26" s="412">
        <f>SUMIF(88:88,E26,89:89)-SUMIF(88:88,C26,89:89)+100</f>
        <v>100</v>
      </c>
      <c r="G26" s="3557" t="s">
        <v>3656</v>
      </c>
      <c r="H26" s="386">
        <f>SUMIF(88:88,G26,89:89)-SUMIF(88:88,C26,89:89)+100</f>
        <v>100</v>
      </c>
      <c r="I26" s="3557" t="s">
        <v>3656</v>
      </c>
      <c r="J26" s="386">
        <f>SUMIF(88:88,I26,89:89)-SUMIF(88:88,C26,89:89)+100</f>
        <v>100</v>
      </c>
      <c r="K26" s="562"/>
      <c r="L26" s="2719"/>
      <c r="M26" s="2713"/>
      <c r="N26" s="2713"/>
      <c r="O26" s="2713"/>
      <c r="P26" s="3812"/>
      <c r="Q26" s="1352" t="str">
        <f t="shared" si="11"/>
        <v>平面位置/可视性</v>
      </c>
      <c r="R26" s="705" t="s">
        <v>14</v>
      </c>
      <c r="S26" s="706">
        <f>F26</f>
        <v>100</v>
      </c>
      <c r="T26" s="705" t="s">
        <v>14</v>
      </c>
      <c r="U26" s="706">
        <f>H26</f>
        <v>100</v>
      </c>
      <c r="V26" s="705" t="s">
        <v>14</v>
      </c>
      <c r="W26" s="706">
        <f>J26</f>
        <v>100</v>
      </c>
      <c r="X26" s="1355"/>
      <c r="Y26" s="3814"/>
      <c r="Z26" s="1356" t="str">
        <f>Q26</f>
        <v>平面位置/可视性</v>
      </c>
      <c r="AA26" s="1353">
        <f t="shared" si="3"/>
        <v>1</v>
      </c>
      <c r="AB26" s="1353">
        <f t="shared" si="4"/>
        <v>1</v>
      </c>
      <c r="AC26" s="1353">
        <f t="shared" si="5"/>
        <v>1</v>
      </c>
    </row>
    <row r="27" spans="1:29" s="108" customFormat="1" ht="15">
      <c r="A27" s="382"/>
      <c r="B27" s="402" t="s">
        <v>1774</v>
      </c>
      <c r="C27" s="1954" t="s">
        <v>3662</v>
      </c>
      <c r="D27" s="413">
        <v>100</v>
      </c>
      <c r="E27" s="1954" t="s">
        <v>3662</v>
      </c>
      <c r="F27" s="415">
        <f>SUMIF(90:90,E27,91:91)-SUMIF(90:90,C27,91:91)+100</f>
        <v>100</v>
      </c>
      <c r="G27" s="1954" t="s">
        <v>3662</v>
      </c>
      <c r="H27" s="413">
        <f>SUMIF(90:90,G27,91:91)-SUMIF(90:90,C27,91:91)+100</f>
        <v>100</v>
      </c>
      <c r="I27" s="1954" t="s">
        <v>3662</v>
      </c>
      <c r="J27" s="413">
        <f>SUMIF(90:90,I27,91:91)-SUMIF(90:90,C27,91:91)+100</f>
        <v>100</v>
      </c>
      <c r="K27" s="561">
        <v>2</v>
      </c>
      <c r="L27" s="2714"/>
      <c r="M27" s="2715"/>
      <c r="N27" s="2715"/>
      <c r="O27" s="2715"/>
      <c r="P27" s="3812"/>
      <c r="Q27" s="1343" t="str">
        <f t="shared" si="11"/>
        <v>人流量</v>
      </c>
      <c r="R27" s="701" t="s">
        <v>14</v>
      </c>
      <c r="S27" s="702">
        <f>F27</f>
        <v>100</v>
      </c>
      <c r="T27" s="701" t="s">
        <v>14</v>
      </c>
      <c r="U27" s="702">
        <f>H27</f>
        <v>100</v>
      </c>
      <c r="V27" s="701" t="s">
        <v>14</v>
      </c>
      <c r="W27" s="702">
        <f>J27</f>
        <v>100</v>
      </c>
      <c r="X27" s="703"/>
      <c r="Y27" s="3814"/>
      <c r="Z27" s="52" t="str">
        <f>Q27</f>
        <v>人流量</v>
      </c>
      <c r="AA27" s="1353">
        <f>D27/F27</f>
        <v>1</v>
      </c>
      <c r="AB27" s="1353">
        <f>D27/H27</f>
        <v>1</v>
      </c>
      <c r="AC27" s="1353">
        <f>D27/J27</f>
        <v>1</v>
      </c>
    </row>
    <row r="28" spans="1:29" ht="15">
      <c r="A28" s="379"/>
      <c r="B28" s="375" t="s">
        <v>1775</v>
      </c>
      <c r="C28" s="565" t="s">
        <v>3675</v>
      </c>
      <c r="D28" s="386">
        <v>100</v>
      </c>
      <c r="E28" s="565" t="s">
        <v>3675</v>
      </c>
      <c r="F28" s="412">
        <f>SUMIF(92:92,E28,93:93)-SUMIF(92:92,C28,93:93)+100</f>
        <v>100</v>
      </c>
      <c r="G28" s="565" t="s">
        <v>3675</v>
      </c>
      <c r="H28" s="386">
        <f>SUMIF(92:92,G28,93:93)-SUMIF(92:92,C28,93:93)+100</f>
        <v>100</v>
      </c>
      <c r="I28" s="565" t="s">
        <v>3675</v>
      </c>
      <c r="J28" s="386">
        <f>SUMIF(92:92,I28,93:93)-SUMIF(92:92,C28,93:93)+100</f>
        <v>100</v>
      </c>
      <c r="K28" s="562"/>
      <c r="L28" s="2719"/>
      <c r="M28" s="2713"/>
      <c r="N28" s="2713"/>
      <c r="O28" s="2713"/>
      <c r="P28" s="38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12"/>
      <c r="Q29" s="1352">
        <f t="shared" si="11"/>
        <v>111</v>
      </c>
      <c r="R29" s="705" t="s">
        <v>14</v>
      </c>
      <c r="S29" s="706">
        <f t="shared" si="12"/>
        <v>100</v>
      </c>
      <c r="T29" s="705" t="s">
        <v>14</v>
      </c>
      <c r="U29" s="706">
        <f t="shared" si="13"/>
        <v>100</v>
      </c>
      <c r="V29" s="705" t="s">
        <v>14</v>
      </c>
      <c r="W29" s="706">
        <f t="shared" si="14"/>
        <v>100</v>
      </c>
      <c r="X29" s="1355"/>
      <c r="Y29" s="38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12"/>
      <c r="Q30" s="1352">
        <f t="shared" si="11"/>
        <v>111</v>
      </c>
      <c r="R30" s="705" t="s">
        <v>14</v>
      </c>
      <c r="S30" s="706">
        <f t="shared" si="12"/>
        <v>100</v>
      </c>
      <c r="T30" s="705" t="s">
        <v>14</v>
      </c>
      <c r="U30" s="706">
        <f t="shared" si="13"/>
        <v>100</v>
      </c>
      <c r="V30" s="705" t="s">
        <v>14</v>
      </c>
      <c r="W30" s="706">
        <f t="shared" si="14"/>
        <v>100</v>
      </c>
      <c r="X30" s="1355"/>
      <c r="Y30" s="38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12"/>
      <c r="Q31" s="1352">
        <f t="shared" si="11"/>
        <v>111</v>
      </c>
      <c r="R31" s="705" t="s">
        <v>14</v>
      </c>
      <c r="S31" s="706">
        <f t="shared" si="12"/>
        <v>100</v>
      </c>
      <c r="T31" s="705" t="s">
        <v>14</v>
      </c>
      <c r="U31" s="706">
        <f t="shared" si="13"/>
        <v>100</v>
      </c>
      <c r="V31" s="705" t="s">
        <v>14</v>
      </c>
      <c r="W31" s="706">
        <f t="shared" si="14"/>
        <v>100</v>
      </c>
      <c r="X31" s="1355"/>
      <c r="Y31" s="3814"/>
      <c r="Z31" s="1356">
        <f t="shared" si="15"/>
        <v>111</v>
      </c>
      <c r="AA31" s="1353">
        <f t="shared" si="3"/>
        <v>1</v>
      </c>
      <c r="AB31" s="1353">
        <f t="shared" si="4"/>
        <v>1</v>
      </c>
      <c r="AC31" s="1353">
        <f t="shared" si="5"/>
        <v>1</v>
      </c>
    </row>
    <row r="32" spans="1:29" ht="15">
      <c r="A32" s="391" t="s">
        <v>1689</v>
      </c>
      <c r="B32" s="63" t="s">
        <v>1776</v>
      </c>
      <c r="C32" s="1910" t="s">
        <v>3668</v>
      </c>
      <c r="D32" s="418">
        <v>100</v>
      </c>
      <c r="E32" s="1910" t="s">
        <v>3666</v>
      </c>
      <c r="F32" s="412">
        <f>SUMIF(100:100,E32,101:101)-SUMIF(100:100,C32,101:101)+100</f>
        <v>104</v>
      </c>
      <c r="G32" s="1910" t="s">
        <v>3666</v>
      </c>
      <c r="H32" s="386">
        <f>SUMIF(100:100,G32,101:101)-SUMIF(100:100,C32,101:101)+100</f>
        <v>104</v>
      </c>
      <c r="I32" s="1910" t="s">
        <v>3666</v>
      </c>
      <c r="J32" s="418">
        <f>SUMIF(100:100,I32,101:101)-SUMIF(100:100,C32,101:101)+100</f>
        <v>104</v>
      </c>
      <c r="K32" s="561">
        <v>2</v>
      </c>
      <c r="L32" s="2719"/>
      <c r="M32" s="2713"/>
      <c r="N32" s="2713"/>
      <c r="O32" s="2713"/>
      <c r="P32" s="3815" t="s">
        <v>1691</v>
      </c>
      <c r="Q32" s="1352" t="str">
        <f t="shared" si="11"/>
        <v>商业类型</v>
      </c>
      <c r="R32" s="705" t="s">
        <v>14</v>
      </c>
      <c r="S32" s="706">
        <f t="shared" si="12"/>
        <v>104</v>
      </c>
      <c r="T32" s="705" t="s">
        <v>14</v>
      </c>
      <c r="U32" s="706">
        <f t="shared" si="13"/>
        <v>104</v>
      </c>
      <c r="V32" s="705" t="s">
        <v>14</v>
      </c>
      <c r="W32" s="706">
        <f t="shared" si="14"/>
        <v>104</v>
      </c>
      <c r="X32" s="1355"/>
      <c r="Y32" s="3818" t="s">
        <v>1691</v>
      </c>
      <c r="Z32" s="1356" t="str">
        <f t="shared" si="15"/>
        <v>商业类型</v>
      </c>
      <c r="AA32" s="1353">
        <f t="shared" si="3"/>
        <v>0.96153846153846156</v>
      </c>
      <c r="AB32" s="1353">
        <f t="shared" si="4"/>
        <v>0.96153846153846156</v>
      </c>
      <c r="AC32" s="1353">
        <f t="shared" si="5"/>
        <v>0.96153846153846156</v>
      </c>
    </row>
    <row r="33" spans="1:29" s="422" customFormat="1" ht="15">
      <c r="A33" s="419"/>
      <c r="B33" s="375" t="s">
        <v>1692</v>
      </c>
      <c r="C33" s="420">
        <f>'数据-汇总表'!E19</f>
        <v>140</v>
      </c>
      <c r="D33" s="127">
        <v>100</v>
      </c>
      <c r="E33" s="381">
        <v>120</v>
      </c>
      <c r="F33" s="376">
        <f>LOOKUP(E33,103:103,104:104)-LOOKUP(C33,103:103,104:104)+100</f>
        <v>100</v>
      </c>
      <c r="G33" s="380">
        <v>85</v>
      </c>
      <c r="H33" s="127">
        <f>LOOKUP(G33,103:103,104:104)-LOOKUP(C33,103:103,104:104)+100</f>
        <v>102</v>
      </c>
      <c r="I33" s="380">
        <v>210</v>
      </c>
      <c r="J33" s="127">
        <f>LOOKUP(I33,103:103,104:104)-LOOKUP(C33,103:103,104:104)+100</f>
        <v>98</v>
      </c>
      <c r="K33" s="562"/>
      <c r="L33" s="2718"/>
      <c r="M33" s="2720"/>
      <c r="N33" s="2720"/>
      <c r="O33" s="2720"/>
      <c r="P33" s="3816"/>
      <c r="Q33" s="707" t="str">
        <f t="shared" si="11"/>
        <v>项目建筑规模</v>
      </c>
      <c r="R33" s="708" t="s">
        <v>14</v>
      </c>
      <c r="S33" s="709">
        <f t="shared" si="12"/>
        <v>100</v>
      </c>
      <c r="T33" s="708" t="s">
        <v>14</v>
      </c>
      <c r="U33" s="709">
        <f t="shared" si="13"/>
        <v>102</v>
      </c>
      <c r="V33" s="708" t="s">
        <v>14</v>
      </c>
      <c r="W33" s="709">
        <f t="shared" si="14"/>
        <v>98</v>
      </c>
      <c r="X33" s="710"/>
      <c r="Y33" s="3818"/>
      <c r="Z33" s="711" t="str">
        <f t="shared" si="15"/>
        <v>项目建筑规模</v>
      </c>
      <c r="AA33" s="1353">
        <f t="shared" si="3"/>
        <v>1</v>
      </c>
      <c r="AB33" s="1353">
        <f t="shared" si="4"/>
        <v>0.98039215686274506</v>
      </c>
      <c r="AC33" s="1353">
        <f t="shared" si="5"/>
        <v>1.0204081632653061</v>
      </c>
    </row>
    <row r="34" spans="1:29" ht="15">
      <c r="A34" s="423"/>
      <c r="B34" s="375" t="s">
        <v>1693</v>
      </c>
      <c r="C34" s="1911" t="s">
        <v>3533</v>
      </c>
      <c r="D34" s="386">
        <v>100</v>
      </c>
      <c r="E34" s="1911" t="s">
        <v>3531</v>
      </c>
      <c r="F34" s="412">
        <f>SUMIF(105:105,E34,106:106)-SUMIF(105:105,C34,106:106)+100</f>
        <v>104</v>
      </c>
      <c r="G34" s="1911" t="s">
        <v>3531</v>
      </c>
      <c r="H34" s="386">
        <f>SUMIF(105:105,G34,106:106)-SUMIF(105:105,C34,106:106)+100</f>
        <v>104</v>
      </c>
      <c r="I34" s="1911" t="s">
        <v>3531</v>
      </c>
      <c r="J34" s="386">
        <f>SUMIF(105:105,I34,106:106)-SUMIF(105:105,C34,106:106)+100</f>
        <v>104</v>
      </c>
      <c r="K34" s="561">
        <v>2</v>
      </c>
      <c r="L34" s="2719"/>
      <c r="M34" s="2713"/>
      <c r="N34" s="2713"/>
      <c r="O34" s="2713"/>
      <c r="P34" s="3816"/>
      <c r="Q34" s="1352" t="str">
        <f t="shared" si="11"/>
        <v>建筑结构</v>
      </c>
      <c r="R34" s="705" t="s">
        <v>14</v>
      </c>
      <c r="S34" s="706">
        <f t="shared" si="12"/>
        <v>104</v>
      </c>
      <c r="T34" s="705" t="s">
        <v>14</v>
      </c>
      <c r="U34" s="706">
        <f t="shared" si="13"/>
        <v>104</v>
      </c>
      <c r="V34" s="705" t="s">
        <v>14</v>
      </c>
      <c r="W34" s="706">
        <f t="shared" si="14"/>
        <v>104</v>
      </c>
      <c r="X34" s="1355"/>
      <c r="Y34" s="3818"/>
      <c r="Z34" s="1356" t="str">
        <f t="shared" si="15"/>
        <v>建筑结构</v>
      </c>
      <c r="AA34" s="1353">
        <f t="shared" si="3"/>
        <v>0.96153846153846156</v>
      </c>
      <c r="AB34" s="1353">
        <f t="shared" si="4"/>
        <v>0.96153846153846156</v>
      </c>
      <c r="AC34" s="1353">
        <f t="shared" si="5"/>
        <v>0.96153846153846156</v>
      </c>
    </row>
    <row r="35" spans="1:29" ht="15" hidden="1">
      <c r="A35" s="423"/>
      <c r="B35" s="375" t="s">
        <v>1777</v>
      </c>
      <c r="C35" s="1906" t="s">
        <v>3549</v>
      </c>
      <c r="D35" s="386">
        <v>100</v>
      </c>
      <c r="E35" s="1906" t="s">
        <v>3549</v>
      </c>
      <c r="F35" s="412">
        <f>SUMIF(107:107,E35,108:108)-SUMIF(107:107,C35,108:108)+100</f>
        <v>100</v>
      </c>
      <c r="G35" s="1906" t="s">
        <v>3549</v>
      </c>
      <c r="H35" s="386">
        <f>SUMIF(107:107,G35,108:108)-SUMIF(107:107,C35,108:108)+100</f>
        <v>100</v>
      </c>
      <c r="I35" s="1906" t="s">
        <v>3549</v>
      </c>
      <c r="J35" s="386">
        <f>SUMIF(107:107,I35,108:108)-SUMIF(107:107,C35,108:108)+100</f>
        <v>100</v>
      </c>
      <c r="K35" s="561">
        <v>2</v>
      </c>
      <c r="L35" s="2719"/>
      <c r="M35" s="2713"/>
      <c r="N35" s="2713"/>
      <c r="O35" s="2713"/>
      <c r="P35" s="3816"/>
      <c r="Q35" s="1352" t="str">
        <f t="shared" si="11"/>
        <v>公共部分装修</v>
      </c>
      <c r="R35" s="705" t="s">
        <v>14</v>
      </c>
      <c r="S35" s="706">
        <f t="shared" si="12"/>
        <v>100</v>
      </c>
      <c r="T35" s="705" t="s">
        <v>14</v>
      </c>
      <c r="U35" s="706">
        <f t="shared" si="13"/>
        <v>100</v>
      </c>
      <c r="V35" s="705" t="s">
        <v>14</v>
      </c>
      <c r="W35" s="706">
        <f t="shared" si="14"/>
        <v>100</v>
      </c>
      <c r="X35" s="1355"/>
      <c r="Y35" s="3818"/>
      <c r="Z35" s="1356" t="str">
        <f t="shared" si="15"/>
        <v>公共部分装修</v>
      </c>
      <c r="AA35" s="1353">
        <f t="shared" si="3"/>
        <v>1</v>
      </c>
      <c r="AB35" s="1353">
        <f t="shared" si="4"/>
        <v>1</v>
      </c>
      <c r="AC35" s="1353">
        <f t="shared" si="5"/>
        <v>1</v>
      </c>
    </row>
    <row r="36" spans="1:29" ht="15" hidden="1">
      <c r="A36" s="423"/>
      <c r="B36" s="375" t="s">
        <v>1778</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v>2</v>
      </c>
      <c r="L36" s="2719"/>
      <c r="M36" s="2713"/>
      <c r="N36" s="2713"/>
      <c r="O36" s="2713"/>
      <c r="P36" s="3816"/>
      <c r="Q36" s="1352" t="str">
        <f t="shared" si="11"/>
        <v>成新度</v>
      </c>
      <c r="R36" s="705" t="s">
        <v>14</v>
      </c>
      <c r="S36" s="706">
        <f t="shared" si="12"/>
        <v>100</v>
      </c>
      <c r="T36" s="705" t="s">
        <v>14</v>
      </c>
      <c r="U36" s="706">
        <f t="shared" si="13"/>
        <v>100</v>
      </c>
      <c r="V36" s="705" t="s">
        <v>14</v>
      </c>
      <c r="W36" s="706">
        <f t="shared" si="14"/>
        <v>100</v>
      </c>
      <c r="X36" s="1355"/>
      <c r="Y36" s="3818"/>
      <c r="Z36" s="1356" t="str">
        <f t="shared" si="15"/>
        <v>成新度</v>
      </c>
      <c r="AA36" s="1353">
        <f t="shared" si="3"/>
        <v>1</v>
      </c>
      <c r="AB36" s="1353">
        <f t="shared" si="4"/>
        <v>1</v>
      </c>
      <c r="AC36" s="1353">
        <f t="shared" si="5"/>
        <v>1</v>
      </c>
    </row>
    <row r="37" spans="1:29" s="108" customFormat="1" ht="15" hidden="1">
      <c r="A37" s="424"/>
      <c r="B37" s="375" t="s">
        <v>1779</v>
      </c>
      <c r="C37" s="1906" t="s">
        <v>3512</v>
      </c>
      <c r="D37" s="127">
        <v>100</v>
      </c>
      <c r="E37" s="1906" t="s">
        <v>3512</v>
      </c>
      <c r="F37" s="412">
        <f>SUMIF(112:112,E37,113:113)-SUMIF(112:112,C37,113:113)+100</f>
        <v>100</v>
      </c>
      <c r="G37" s="1906" t="s">
        <v>3512</v>
      </c>
      <c r="H37" s="386">
        <f>SUMIF(112:112,G37,113:113)-SUMIF(112:112,C37,113:113)+100</f>
        <v>100</v>
      </c>
      <c r="I37" s="1906" t="s">
        <v>3512</v>
      </c>
      <c r="J37" s="386">
        <f>SUMIF(112:112,I37,113:113)-SUMIF(112:112,C37,113:113)+100</f>
        <v>100</v>
      </c>
      <c r="K37" s="561">
        <v>2</v>
      </c>
      <c r="L37" s="2714"/>
      <c r="M37" s="2715"/>
      <c r="N37" s="2715"/>
      <c r="O37" s="2715"/>
      <c r="P37" s="3816"/>
      <c r="Q37" s="1343" t="str">
        <f t="shared" si="11"/>
        <v>市政基础设施</v>
      </c>
      <c r="R37" s="701" t="s">
        <v>14</v>
      </c>
      <c r="S37" s="702">
        <f t="shared" si="12"/>
        <v>100</v>
      </c>
      <c r="T37" s="701" t="s">
        <v>14</v>
      </c>
      <c r="U37" s="702">
        <f t="shared" si="13"/>
        <v>100</v>
      </c>
      <c r="V37" s="701" t="s">
        <v>14</v>
      </c>
      <c r="W37" s="702">
        <f t="shared" si="14"/>
        <v>100</v>
      </c>
      <c r="X37" s="703"/>
      <c r="Y37" s="3818"/>
      <c r="Z37" s="52" t="str">
        <f t="shared" si="15"/>
        <v>市政基础设施</v>
      </c>
      <c r="AA37" s="704">
        <f t="shared" si="3"/>
        <v>1</v>
      </c>
      <c r="AB37" s="704">
        <f t="shared" si="4"/>
        <v>1</v>
      </c>
      <c r="AC37" s="704">
        <f t="shared" si="5"/>
        <v>1</v>
      </c>
    </row>
    <row r="38" spans="1:29" ht="15">
      <c r="A38" s="423"/>
      <c r="B38" s="375" t="s">
        <v>1780</v>
      </c>
      <c r="C38" s="1906" t="s">
        <v>3670</v>
      </c>
      <c r="D38" s="386">
        <v>100</v>
      </c>
      <c r="E38" s="1906" t="s">
        <v>3670</v>
      </c>
      <c r="F38" s="412">
        <f>SUMIF(114:114,E38,115:115)-SUMIF(114:114,C38,115:115)+100</f>
        <v>100</v>
      </c>
      <c r="G38" s="1906" t="s">
        <v>3670</v>
      </c>
      <c r="H38" s="386">
        <f>SUMIF(114:114,G38,115:115)-SUMIF(114:114,C38,115:115)+100</f>
        <v>100</v>
      </c>
      <c r="I38" s="1906" t="s">
        <v>3670</v>
      </c>
      <c r="J38" s="386">
        <f>SUMIF(114:114,I38,115:115)-SUMIF(114:114,C38,115:115)+100</f>
        <v>100</v>
      </c>
      <c r="K38" s="561">
        <v>10</v>
      </c>
      <c r="L38" s="2719"/>
      <c r="M38" s="2713"/>
      <c r="N38" s="2713"/>
      <c r="O38" s="2713"/>
      <c r="P38" s="3816" t="s">
        <v>1691</v>
      </c>
      <c r="Q38" s="1352" t="str">
        <f t="shared" si="11"/>
        <v>业态</v>
      </c>
      <c r="R38" s="705" t="s">
        <v>14</v>
      </c>
      <c r="S38" s="706">
        <f t="shared" si="12"/>
        <v>100</v>
      </c>
      <c r="T38" s="705" t="s">
        <v>14</v>
      </c>
      <c r="U38" s="706">
        <f t="shared" si="13"/>
        <v>100</v>
      </c>
      <c r="V38" s="705" t="s">
        <v>14</v>
      </c>
      <c r="W38" s="706">
        <f t="shared" si="14"/>
        <v>100</v>
      </c>
      <c r="X38" s="1355"/>
      <c r="Y38" s="3818" t="s">
        <v>1691</v>
      </c>
      <c r="Z38" s="1356" t="str">
        <f t="shared" si="15"/>
        <v>业态</v>
      </c>
      <c r="AA38" s="1353">
        <f t="shared" si="3"/>
        <v>1</v>
      </c>
      <c r="AB38" s="1353">
        <f t="shared" si="4"/>
        <v>1</v>
      </c>
      <c r="AC38" s="1353">
        <f t="shared" si="5"/>
        <v>1</v>
      </c>
    </row>
    <row r="39" spans="1:29" ht="15">
      <c r="A39" s="423"/>
      <c r="B39" s="375" t="s">
        <v>1781</v>
      </c>
      <c r="C39" s="1906" t="s">
        <v>3673</v>
      </c>
      <c r="D39" s="386">
        <v>100</v>
      </c>
      <c r="E39" s="1906" t="s">
        <v>3673</v>
      </c>
      <c r="F39" s="412">
        <f>SUMIF(116:116,E39,117:117)-SUMIF(116:116,C39,117:117)+100</f>
        <v>100</v>
      </c>
      <c r="G39" s="1906" t="s">
        <v>3673</v>
      </c>
      <c r="H39" s="386">
        <f>SUMIF(116:116,G39,117:117)-SUMIF(116:116,C39,117:117)+100</f>
        <v>100</v>
      </c>
      <c r="I39" s="1906" t="s">
        <v>3673</v>
      </c>
      <c r="J39" s="386">
        <f>SUMIF(116:116,I39,117:117)-SUMIF(116:116,C39,117:117)+100</f>
        <v>100</v>
      </c>
      <c r="K39" s="561">
        <v>2</v>
      </c>
      <c r="L39" s="2719"/>
      <c r="M39" s="2713"/>
      <c r="N39" s="2713"/>
      <c r="O39" s="2713"/>
      <c r="P39" s="3816"/>
      <c r="Q39" s="1352" t="str">
        <f t="shared" si="11"/>
        <v>层高</v>
      </c>
      <c r="R39" s="705" t="s">
        <v>14</v>
      </c>
      <c r="S39" s="706">
        <f t="shared" si="12"/>
        <v>100</v>
      </c>
      <c r="T39" s="705" t="s">
        <v>14</v>
      </c>
      <c r="U39" s="706">
        <f t="shared" si="13"/>
        <v>100</v>
      </c>
      <c r="V39" s="705" t="s">
        <v>14</v>
      </c>
      <c r="W39" s="706">
        <f t="shared" si="14"/>
        <v>100</v>
      </c>
      <c r="X39" s="1355"/>
      <c r="Y39" s="3818"/>
      <c r="Z39" s="1356" t="str">
        <f t="shared" si="15"/>
        <v>层高</v>
      </c>
      <c r="AA39" s="1353">
        <f t="shared" si="3"/>
        <v>1</v>
      </c>
      <c r="AB39" s="1353">
        <f t="shared" si="4"/>
        <v>1</v>
      </c>
      <c r="AC39" s="1353">
        <f t="shared" si="5"/>
        <v>1</v>
      </c>
    </row>
    <row r="40" spans="1:29" ht="15" hidden="1">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16"/>
      <c r="Q40" s="1352" t="str">
        <f t="shared" si="11"/>
        <v>单套建筑面积</v>
      </c>
      <c r="R40" s="705" t="s">
        <v>14</v>
      </c>
      <c r="S40" s="706">
        <f t="shared" si="12"/>
        <v>100</v>
      </c>
      <c r="T40" s="705" t="s">
        <v>14</v>
      </c>
      <c r="U40" s="706">
        <f t="shared" si="13"/>
        <v>100</v>
      </c>
      <c r="V40" s="705" t="s">
        <v>14</v>
      </c>
      <c r="W40" s="706">
        <f t="shared" si="14"/>
        <v>100</v>
      </c>
      <c r="X40" s="1355"/>
      <c r="Y40" s="3818"/>
      <c r="Z40" s="1356" t="str">
        <f t="shared" si="15"/>
        <v>单套建筑面积</v>
      </c>
      <c r="AA40" s="1353">
        <f t="shared" si="3"/>
        <v>1</v>
      </c>
      <c r="AB40" s="1353">
        <f t="shared" si="4"/>
        <v>1</v>
      </c>
      <c r="AC40" s="1353">
        <f t="shared" si="5"/>
        <v>1</v>
      </c>
    </row>
    <row r="41" spans="1:29" s="422" customFormat="1" ht="15" hidden="1">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16"/>
      <c r="Q41" s="707" t="str">
        <f t="shared" si="11"/>
        <v>进深比</v>
      </c>
      <c r="R41" s="708" t="s">
        <v>14</v>
      </c>
      <c r="S41" s="709">
        <f t="shared" si="12"/>
        <v>100</v>
      </c>
      <c r="T41" s="708" t="s">
        <v>14</v>
      </c>
      <c r="U41" s="709">
        <f t="shared" si="13"/>
        <v>100</v>
      </c>
      <c r="V41" s="708" t="s">
        <v>14</v>
      </c>
      <c r="W41" s="709">
        <f t="shared" si="14"/>
        <v>100</v>
      </c>
      <c r="X41" s="710"/>
      <c r="Y41" s="3818"/>
      <c r="Z41" s="711" t="str">
        <f t="shared" si="15"/>
        <v>进深比</v>
      </c>
      <c r="AA41" s="1353">
        <f t="shared" si="3"/>
        <v>1</v>
      </c>
      <c r="AB41" s="1353">
        <f t="shared" si="4"/>
        <v>1</v>
      </c>
      <c r="AC41" s="1353">
        <f t="shared" si="5"/>
        <v>1</v>
      </c>
    </row>
    <row r="42" spans="1:29" ht="15">
      <c r="A42" s="423"/>
      <c r="B42" s="375" t="s">
        <v>1784</v>
      </c>
      <c r="C42" s="1906" t="s">
        <v>3549</v>
      </c>
      <c r="D42" s="386">
        <v>100</v>
      </c>
      <c r="E42" s="1906" t="s">
        <v>3549</v>
      </c>
      <c r="F42" s="412">
        <f>SUMIF(122:122,E42,123:123)-SUMIF(122:122,C42,123:123)+100</f>
        <v>100</v>
      </c>
      <c r="G42" s="1906" t="s">
        <v>3549</v>
      </c>
      <c r="H42" s="386">
        <f>SUMIF(122:122,G42,123:123)-SUMIF(122:122,C42,123:123)+100</f>
        <v>100</v>
      </c>
      <c r="I42" s="1906" t="s">
        <v>3549</v>
      </c>
      <c r="J42" s="386">
        <f>SUMIF(122:122,I42,123:123)-SUMIF(122:122,C42,123:123)+100</f>
        <v>100</v>
      </c>
      <c r="K42" s="561">
        <v>2</v>
      </c>
      <c r="L42" s="2719"/>
      <c r="M42" s="2713"/>
      <c r="N42" s="2713"/>
      <c r="O42" s="2713"/>
      <c r="P42" s="3816"/>
      <c r="Q42" s="1352" t="str">
        <f t="shared" si="11"/>
        <v>内部装修</v>
      </c>
      <c r="R42" s="705" t="s">
        <v>14</v>
      </c>
      <c r="S42" s="706">
        <f t="shared" si="12"/>
        <v>100</v>
      </c>
      <c r="T42" s="705" t="s">
        <v>14</v>
      </c>
      <c r="U42" s="706">
        <f t="shared" si="13"/>
        <v>100</v>
      </c>
      <c r="V42" s="705" t="s">
        <v>14</v>
      </c>
      <c r="W42" s="706">
        <f t="shared" si="14"/>
        <v>100</v>
      </c>
      <c r="X42" s="1355"/>
      <c r="Y42" s="3818"/>
      <c r="Z42" s="1356" t="str">
        <f t="shared" si="15"/>
        <v>内部装修</v>
      </c>
      <c r="AA42" s="1353">
        <f t="shared" si="3"/>
        <v>1</v>
      </c>
      <c r="AB42" s="1353">
        <f t="shared" si="4"/>
        <v>1</v>
      </c>
      <c r="AC42" s="1353">
        <f t="shared" si="5"/>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561">
        <v>2</v>
      </c>
      <c r="L43" s="2719"/>
      <c r="M43" s="2713"/>
      <c r="N43" s="2713"/>
      <c r="O43" s="2713"/>
      <c r="P43" s="3816"/>
      <c r="Q43" s="1352" t="str">
        <f t="shared" si="11"/>
        <v>内部装修维护情况</v>
      </c>
      <c r="R43" s="705" t="s">
        <v>14</v>
      </c>
      <c r="S43" s="706">
        <f t="shared" si="12"/>
        <v>100</v>
      </c>
      <c r="T43" s="705" t="s">
        <v>14</v>
      </c>
      <c r="U43" s="706">
        <f t="shared" si="13"/>
        <v>100</v>
      </c>
      <c r="V43" s="705" t="s">
        <v>14</v>
      </c>
      <c r="W43" s="706">
        <f t="shared" si="14"/>
        <v>100</v>
      </c>
      <c r="X43" s="1355"/>
      <c r="Y43" s="38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16"/>
      <c r="Q44" s="1343">
        <f t="shared" si="11"/>
        <v>111</v>
      </c>
      <c r="R44" s="701" t="s">
        <v>14</v>
      </c>
      <c r="S44" s="702">
        <f t="shared" si="12"/>
        <v>100</v>
      </c>
      <c r="T44" s="701" t="s">
        <v>14</v>
      </c>
      <c r="U44" s="702">
        <f t="shared" si="13"/>
        <v>100</v>
      </c>
      <c r="V44" s="701" t="s">
        <v>14</v>
      </c>
      <c r="W44" s="702">
        <f t="shared" si="14"/>
        <v>100</v>
      </c>
      <c r="X44" s="703"/>
      <c r="Y44" s="38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16"/>
      <c r="Q45" s="1352">
        <f t="shared" si="11"/>
        <v>111</v>
      </c>
      <c r="R45" s="705" t="s">
        <v>14</v>
      </c>
      <c r="S45" s="706">
        <f t="shared" si="12"/>
        <v>100</v>
      </c>
      <c r="T45" s="705" t="s">
        <v>14</v>
      </c>
      <c r="U45" s="706">
        <f t="shared" si="13"/>
        <v>100</v>
      </c>
      <c r="V45" s="705" t="s">
        <v>14</v>
      </c>
      <c r="W45" s="706">
        <f t="shared" si="14"/>
        <v>100</v>
      </c>
      <c r="X45" s="1355"/>
      <c r="Y45" s="38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17"/>
      <c r="Q46" s="1352">
        <f t="shared" si="11"/>
        <v>111</v>
      </c>
      <c r="R46" s="705" t="s">
        <v>14</v>
      </c>
      <c r="S46" s="706">
        <f t="shared" si="12"/>
        <v>100</v>
      </c>
      <c r="T46" s="705" t="s">
        <v>14</v>
      </c>
      <c r="U46" s="706">
        <f t="shared" si="13"/>
        <v>100</v>
      </c>
      <c r="V46" s="705" t="s">
        <v>14</v>
      </c>
      <c r="W46" s="706">
        <f t="shared" si="14"/>
        <v>100</v>
      </c>
      <c r="X46" s="1355"/>
      <c r="Y46" s="3819"/>
      <c r="Z46" s="1356">
        <f t="shared" si="15"/>
        <v>111</v>
      </c>
      <c r="AA46" s="1353">
        <f t="shared" si="3"/>
        <v>1</v>
      </c>
      <c r="AB46" s="1353">
        <f t="shared" si="4"/>
        <v>1</v>
      </c>
      <c r="AC46" s="1353">
        <f t="shared" si="5"/>
        <v>1</v>
      </c>
    </row>
    <row r="47" spans="1:29" ht="15">
      <c r="A47" s="430" t="s">
        <v>1703</v>
      </c>
      <c r="B47" s="431"/>
      <c r="C47" s="1154" t="s">
        <v>0</v>
      </c>
      <c r="D47" s="1155"/>
      <c r="E47" s="1156">
        <v>11</v>
      </c>
      <c r="F47" s="1157"/>
      <c r="G47" s="1158">
        <v>10.199999999999999</v>
      </c>
      <c r="H47" s="1159"/>
      <c r="I47" s="1156">
        <v>11.73</v>
      </c>
      <c r="J47" s="1159"/>
      <c r="K47" s="714"/>
      <c r="L47" s="2721"/>
      <c r="M47" s="2722"/>
      <c r="N47" s="2713"/>
      <c r="O47" s="2722"/>
      <c r="P47" s="3806" t="str">
        <f>A47</f>
        <v>成交单价（元/平方米）</v>
      </c>
      <c r="Q47" s="3806"/>
      <c r="R47" s="3820">
        <f>E47</f>
        <v>11</v>
      </c>
      <c r="S47" s="3820"/>
      <c r="T47" s="3820">
        <f>G47</f>
        <v>10.199999999999999</v>
      </c>
      <c r="U47" s="3820"/>
      <c r="V47" s="3820">
        <f>I47</f>
        <v>11.73</v>
      </c>
      <c r="W47" s="3820"/>
      <c r="X47" s="690"/>
      <c r="Y47" s="712"/>
      <c r="Z47" s="690"/>
      <c r="AA47" s="690"/>
      <c r="AB47" s="690"/>
      <c r="AC47" s="690"/>
    </row>
    <row r="48" spans="1:29" ht="15.75" thickBot="1">
      <c r="A48" s="437" t="s">
        <v>1785</v>
      </c>
      <c r="B48" s="438"/>
      <c r="C48" s="1160">
        <f>R49</f>
        <v>11.1</v>
      </c>
      <c r="D48" s="2315" t="s">
        <v>2130</v>
      </c>
      <c r="E48" s="1161">
        <f>R48</f>
        <v>10.7</v>
      </c>
      <c r="F48" s="2316"/>
      <c r="G48" s="1160">
        <f>T48</f>
        <v>10.9</v>
      </c>
      <c r="H48" s="2316"/>
      <c r="I48" s="1161">
        <f>V48</f>
        <v>11.6</v>
      </c>
      <c r="J48" s="2316"/>
      <c r="K48" s="2318">
        <f>F48+H48+J48</f>
        <v>0</v>
      </c>
      <c r="L48" s="2721"/>
      <c r="M48" s="2722"/>
      <c r="N48" s="2713"/>
      <c r="O48" s="2722"/>
      <c r="P48" s="3806" t="str">
        <f>A48</f>
        <v>比较价值（元/平方米）</v>
      </c>
      <c r="Q48" s="3806"/>
      <c r="R48" s="3807">
        <f>IF(F1="售价",ROUND(PRODUCT(R47,AA7:AA46),0),ROUND(PRODUCT(R47,AA7:AA46),1))</f>
        <v>10.7</v>
      </c>
      <c r="S48" s="3807"/>
      <c r="T48" s="3807">
        <f>IF(F1="售价",ROUND(PRODUCT(T47,AB7:AB46),0),ROUND(PRODUCT(T47,AB7:AB46),1))</f>
        <v>10.9</v>
      </c>
      <c r="U48" s="3807"/>
      <c r="V48" s="3807">
        <f>IF(F1="售价",ROUND(PRODUCT(V47,AC7:AC46),0),ROUND(PRODUCT(V47,AC7:AC46),1))</f>
        <v>11.6</v>
      </c>
      <c r="W48" s="3807"/>
      <c r="X48" s="690"/>
      <c r="Y48" s="690"/>
      <c r="Z48" s="690"/>
      <c r="AA48" s="690"/>
      <c r="AB48" s="690"/>
      <c r="AC48" s="690"/>
    </row>
    <row r="49" spans="1:29" ht="15.75" thickBot="1">
      <c r="A49" s="441" t="s">
        <v>1786</v>
      </c>
      <c r="B49" s="442"/>
      <c r="C49" s="1163">
        <f>R49</f>
        <v>11.1</v>
      </c>
      <c r="D49" s="1163"/>
      <c r="E49" s="1163"/>
      <c r="F49" s="1163"/>
      <c r="G49" s="1163"/>
      <c r="H49" s="1163"/>
      <c r="I49" s="1163"/>
      <c r="J49" s="1163"/>
      <c r="K49" s="715"/>
      <c r="L49" s="2721"/>
      <c r="M49" s="2722"/>
      <c r="N49" s="2713"/>
      <c r="O49" s="2722"/>
      <c r="P49" s="3808" t="str">
        <f>A49</f>
        <v>估价对象XX用房的比较价值（楼面单价，元/平方米）</v>
      </c>
      <c r="Q49" s="3809"/>
      <c r="R49" s="3810">
        <f>IF(F1="售价",ROUND(IF(D48="简单平均",AVERAGE(R48:V48),R48*F48+T48*H48+V48*J48),0),ROUND(IF(D48="简单平均",AVERAGE(R48:V48),R48*F48+T48*H48+V48*J48),1))</f>
        <v>11.1</v>
      </c>
      <c r="S49" s="3810"/>
      <c r="T49" s="3810"/>
      <c r="U49" s="3810"/>
      <c r="V49" s="3810"/>
      <c r="W49" s="381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f>IF(E47&lt;E48,E48/E47-1,E47/E48-1)</f>
        <v>2.8037383177570208E-2</v>
      </c>
      <c r="F52" s="449" t="str">
        <f>IF(OR(E52&gt;=0.3,E52&lt;=-0.3),"超过30%","")</f>
        <v/>
      </c>
      <c r="G52" s="448">
        <f>IF(G47&lt;G48,G48/G47-1,G47/G48-1)</f>
        <v>6.8627450980392357E-2</v>
      </c>
      <c r="H52" s="449" t="str">
        <f>IF(OR(G52&gt;=0.3,G52&lt;=-0.3),"超过30%","")</f>
        <v/>
      </c>
      <c r="I52" s="448">
        <f>IF(I47&lt;I48,I48/I47-1,I47/I48-1)</f>
        <v>1.1206896551724244E-2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f>IF(E48&lt;G48,G48/E48-1,E48/G48-1)</f>
        <v>1.8691588785046731E-2</v>
      </c>
      <c r="F53" s="449" t="str">
        <f>IF(OR(E53&gt;=0.2,E53&lt;=-0.2),"超过20%","")</f>
        <v/>
      </c>
      <c r="G53" s="448">
        <f>IF(G48&lt;I48,I48/G48-1,G48/I48-1)</f>
        <v>6.4220183486238369E-2</v>
      </c>
      <c r="H53" s="449" t="str">
        <f>IF(OR(G53&gt;=0.2,G53&lt;=-0.2),"超过20%","")</f>
        <v/>
      </c>
      <c r="I53" s="448">
        <f>IF(I48&lt;E48,E48/I48-1,I48/E48-1)</f>
        <v>8.4112149532710401E-2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f>IF(E47&lt;G47,G47/E47-1,E47/G47-1)</f>
        <v>7.8431372549019773E-2</v>
      </c>
      <c r="F54" s="449" t="str">
        <f>IF(OR(E54&gt;=0.3,E54&lt;=-0.3),"超过30%","")</f>
        <v/>
      </c>
      <c r="G54" s="448">
        <f>IF(G47&lt;I47,I47/G47-1,G47/I47-1)</f>
        <v>0.15000000000000013</v>
      </c>
      <c r="H54" s="449" t="str">
        <f>IF(OR(G54&gt;=0.3,G54&lt;=-0.3),"超过30%","")</f>
        <v/>
      </c>
      <c r="I54" s="448">
        <f>IF(I47&lt;E47,E47/I47-1,I47/E47-1)</f>
        <v>6.6363636363636402E-2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3499" t="s">
        <v>3502</v>
      </c>
      <c r="D65" s="3499" t="s">
        <v>3503</v>
      </c>
      <c r="E65" s="3499" t="s">
        <v>3504</v>
      </c>
      <c r="F65" s="3499" t="s">
        <v>3505</v>
      </c>
      <c r="G65" s="3499" t="s">
        <v>3506</v>
      </c>
      <c r="H65" s="3499" t="s">
        <v>3507</v>
      </c>
      <c r="I65" s="3499" t="s">
        <v>3508</v>
      </c>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3500">
        <v>100</v>
      </c>
      <c r="D66" s="3500">
        <f t="shared" ref="D66:I66" si="17">C66-$K10</f>
        <v>100</v>
      </c>
      <c r="E66" s="3500">
        <f t="shared" si="17"/>
        <v>100</v>
      </c>
      <c r="F66" s="3500">
        <f t="shared" si="17"/>
        <v>100</v>
      </c>
      <c r="G66" s="3500">
        <f t="shared" si="17"/>
        <v>100</v>
      </c>
      <c r="H66" s="3500">
        <f t="shared" si="17"/>
        <v>100</v>
      </c>
      <c r="I66" s="3500">
        <f t="shared" si="17"/>
        <v>100</v>
      </c>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D68&amp;"（含）"&amp;"-"&amp;E68</f>
        <v>1（含）-2</v>
      </c>
      <c r="D67" s="496" t="str">
        <f>E68&amp;"（含）"&amp;"-"&amp;F68</f>
        <v>2（含）-3</v>
      </c>
      <c r="E67" s="496" t="e">
        <f>F68&amp;"（含）"&amp;"-"&amp;#REF!</f>
        <v>#REF!</v>
      </c>
      <c r="F67" s="496" t="e">
        <f>#REF!&amp;"（含）"&amp;"-"&amp;G68</f>
        <v>#REF!</v>
      </c>
      <c r="G67" s="496" t="str">
        <f t="shared" ref="G67:L67" si="18">G68&amp;"（含）"&amp;"-"&amp;H68</f>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357">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3556" t="s">
        <v>3650</v>
      </c>
      <c r="D86" s="3556" t="s">
        <v>3651</v>
      </c>
      <c r="E86" s="3556" t="s">
        <v>3652</v>
      </c>
      <c r="F86" s="3556" t="s">
        <v>3653</v>
      </c>
      <c r="G86" s="3556" t="s">
        <v>3654</v>
      </c>
      <c r="H86" s="3530" t="s">
        <v>3655</v>
      </c>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538" t="s">
        <v>3657</v>
      </c>
      <c r="D88" s="3538" t="s">
        <v>3656</v>
      </c>
      <c r="E88" s="3538" t="s">
        <v>3658</v>
      </c>
      <c r="F88" s="3558" t="s">
        <v>3659</v>
      </c>
      <c r="G88" s="3538" t="s">
        <v>3660</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98</v>
      </c>
      <c r="E89" s="485">
        <v>96</v>
      </c>
      <c r="F89" s="485">
        <v>94</v>
      </c>
      <c r="G89" s="485">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38" t="s">
        <v>3661</v>
      </c>
      <c r="D90" s="3538" t="s">
        <v>3663</v>
      </c>
      <c r="E90" s="3558" t="s">
        <v>3664</v>
      </c>
      <c r="F90" s="3538" t="s">
        <v>3665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3674</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3559" t="s">
        <v>3666</v>
      </c>
      <c r="D100" s="3559" t="s">
        <v>3667</v>
      </c>
      <c r="E100" s="3559" t="s">
        <v>3668</v>
      </c>
      <c r="F100" s="3559" t="s">
        <v>3669</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1729</v>
      </c>
      <c r="C102" s="527" t="str">
        <f>C103&amp;"(含)"&amp;"-"&amp;D103</f>
        <v>0(含)-50</v>
      </c>
      <c r="D102" s="527" t="str">
        <f t="shared" ref="D102:L102" si="24">D103&amp;"(含)"&amp;"-"&amp;E103</f>
        <v>50(含)-100</v>
      </c>
      <c r="E102" s="527" t="str">
        <f t="shared" si="24"/>
        <v>100(含)-200</v>
      </c>
      <c r="F102" s="527" t="str">
        <f t="shared" si="24"/>
        <v>200(含)-300</v>
      </c>
      <c r="G102" s="527" t="str">
        <f t="shared" si="24"/>
        <v>300(含)-500</v>
      </c>
      <c r="H102" s="527" t="str">
        <f t="shared" si="24"/>
        <v>500(含)-800</v>
      </c>
      <c r="I102" s="527" t="str">
        <f t="shared" si="24"/>
        <v>800(含)-1200</v>
      </c>
      <c r="J102" s="527" t="str">
        <f t="shared" si="24"/>
        <v>1200(含)-1600</v>
      </c>
      <c r="K102" s="527" t="str">
        <f t="shared" si="24"/>
        <v>1600(含)-2000</v>
      </c>
      <c r="L102" s="527" t="str">
        <f t="shared" si="24"/>
        <v>2000(含)-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3568">
        <v>0</v>
      </c>
      <c r="D103" s="3568">
        <v>50</v>
      </c>
      <c r="E103" s="3568">
        <v>100</v>
      </c>
      <c r="F103" s="3568">
        <v>200</v>
      </c>
      <c r="G103" s="3568">
        <v>300</v>
      </c>
      <c r="H103" s="3568">
        <v>500</v>
      </c>
      <c r="I103" s="3568">
        <v>800</v>
      </c>
      <c r="J103" s="3569">
        <v>1200</v>
      </c>
      <c r="K103" s="3569">
        <v>1600</v>
      </c>
      <c r="L103" s="3570">
        <v>2000</v>
      </c>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3568">
        <v>100</v>
      </c>
      <c r="D104" s="3571">
        <v>98</v>
      </c>
      <c r="E104" s="3568">
        <v>96</v>
      </c>
      <c r="F104" s="3571">
        <v>94</v>
      </c>
      <c r="G104" s="3568">
        <v>92</v>
      </c>
      <c r="H104" s="3571">
        <v>90</v>
      </c>
      <c r="I104" s="3568">
        <v>88</v>
      </c>
      <c r="J104" s="3569">
        <v>86</v>
      </c>
      <c r="K104" s="3569">
        <v>84</v>
      </c>
      <c r="L104" s="3569">
        <v>82</v>
      </c>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3506" t="s">
        <v>3530</v>
      </c>
      <c r="D105" s="3506" t="s">
        <v>3531</v>
      </c>
      <c r="E105" s="3515" t="s">
        <v>3532</v>
      </c>
      <c r="F105" s="3515" t="s">
        <v>3533</v>
      </c>
      <c r="G105" s="3516" t="s">
        <v>3534</v>
      </c>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3506" t="s">
        <v>3535</v>
      </c>
      <c r="D107" s="3506" t="s">
        <v>3536</v>
      </c>
      <c r="E107" s="3506" t="s">
        <v>3537</v>
      </c>
      <c r="F107" s="3515" t="s">
        <v>3538</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3506" t="s">
        <v>3512</v>
      </c>
      <c r="D112" s="3506" t="s">
        <v>3543</v>
      </c>
      <c r="E112" s="3506" t="s">
        <v>3544</v>
      </c>
      <c r="F112" s="3506" t="s">
        <v>3545</v>
      </c>
      <c r="G112" s="3506" t="s">
        <v>3546</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3530" t="s">
        <v>3670</v>
      </c>
      <c r="D114" s="3530" t="s">
        <v>3671</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3556" t="s">
        <v>3672</v>
      </c>
      <c r="D116" s="3530" t="s">
        <v>3673</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3506" t="s">
        <v>3535</v>
      </c>
      <c r="D122" s="3506" t="s">
        <v>3536</v>
      </c>
      <c r="E122" s="3506" t="s">
        <v>3537</v>
      </c>
      <c r="F122" s="3515" t="s">
        <v>3538</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91" zoomScale="80" zoomScaleNormal="60" zoomScaleSheetLayoutView="80" workbookViewId="0">
      <selection activeCell="C103" sqref="C103:G10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0</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120440</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5" t="s">
        <v>1662</v>
      </c>
      <c r="D4" s="3826"/>
      <c r="E4" s="3827" t="s">
        <v>1663</v>
      </c>
      <c r="F4" s="3828"/>
      <c r="G4" s="3825" t="s">
        <v>1664</v>
      </c>
      <c r="H4" s="3826"/>
      <c r="I4" s="3825" t="s">
        <v>1665</v>
      </c>
      <c r="J4" s="3826"/>
      <c r="K4" s="1889" t="s">
        <v>1666</v>
      </c>
      <c r="L4" s="2712"/>
      <c r="M4" s="2713"/>
      <c r="N4" s="2713"/>
      <c r="O4" s="2713"/>
      <c r="P4" s="3829" t="s">
        <v>1667</v>
      </c>
      <c r="Q4" s="3830"/>
      <c r="R4" s="3835" t="s">
        <v>1663</v>
      </c>
      <c r="S4" s="3836"/>
      <c r="T4" s="3835" t="s">
        <v>1664</v>
      </c>
      <c r="U4" s="3836"/>
      <c r="V4" s="3820" t="s">
        <v>1665</v>
      </c>
      <c r="W4" s="3820"/>
      <c r="X4" s="3449"/>
      <c r="Y4" s="3835" t="s">
        <v>1667</v>
      </c>
      <c r="Z4" s="3836"/>
      <c r="AA4" s="3822" t="s">
        <v>1663</v>
      </c>
      <c r="AB4" s="3822" t="s">
        <v>1664</v>
      </c>
      <c r="AC4" s="3822" t="s">
        <v>1665</v>
      </c>
    </row>
    <row r="5" spans="1:29" ht="15.75" thickBot="1">
      <c r="A5" s="358"/>
      <c r="B5" s="359"/>
      <c r="C5" s="3848" t="s">
        <v>3500</v>
      </c>
      <c r="D5" s="3844"/>
      <c r="E5" s="3855" t="str">
        <f>C5</f>
        <v>双榆树西里</v>
      </c>
      <c r="F5" s="3854"/>
      <c r="G5" s="3843" t="str">
        <f>C5</f>
        <v>双榆树西里</v>
      </c>
      <c r="H5" s="3844"/>
      <c r="I5" s="3843" t="str">
        <f>C5</f>
        <v>双榆树西里</v>
      </c>
      <c r="J5" s="3844"/>
      <c r="K5" s="1890"/>
      <c r="L5" s="2712"/>
      <c r="M5" s="2713"/>
      <c r="N5" s="2713"/>
      <c r="O5" s="2713"/>
      <c r="P5" s="3831"/>
      <c r="Q5" s="3832"/>
      <c r="R5" s="3837"/>
      <c r="S5" s="3838"/>
      <c r="T5" s="3837"/>
      <c r="U5" s="3838"/>
      <c r="V5" s="3820"/>
      <c r="W5" s="3820"/>
      <c r="X5" s="3449"/>
      <c r="Y5" s="3837"/>
      <c r="Z5" s="3838"/>
      <c r="AA5" s="3823"/>
      <c r="AB5" s="3823"/>
      <c r="AC5" s="3823"/>
    </row>
    <row r="6" spans="1:29" ht="15.75" hidden="1" thickBot="1">
      <c r="A6" s="360"/>
      <c r="B6" s="361"/>
      <c r="C6" s="3856" t="s">
        <v>1672</v>
      </c>
      <c r="D6" s="3842"/>
      <c r="E6" s="3857" t="s">
        <v>1672</v>
      </c>
      <c r="F6" s="3852"/>
      <c r="G6" s="3856" t="s">
        <v>1672</v>
      </c>
      <c r="H6" s="3842"/>
      <c r="I6" s="3856" t="s">
        <v>1672</v>
      </c>
      <c r="J6" s="3842"/>
      <c r="K6" s="1890" t="s">
        <v>1673</v>
      </c>
      <c r="L6" s="2712"/>
      <c r="M6" s="2713"/>
      <c r="N6" s="2713"/>
      <c r="O6" s="2713"/>
      <c r="P6" s="3833"/>
      <c r="Q6" s="3834"/>
      <c r="R6" s="3837"/>
      <c r="S6" s="3838"/>
      <c r="T6" s="3839"/>
      <c r="U6" s="3840"/>
      <c r="V6" s="3820"/>
      <c r="W6" s="3820"/>
      <c r="X6" s="3449"/>
      <c r="Y6" s="3839"/>
      <c r="Z6" s="3840"/>
      <c r="AA6" s="3824"/>
      <c r="AB6" s="3824"/>
      <c r="AC6" s="3824"/>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45" t="s">
        <v>1675</v>
      </c>
      <c r="Q7" s="3847"/>
      <c r="R7" s="701" t="s">
        <v>14</v>
      </c>
      <c r="S7" s="702">
        <f t="shared" ref="S7:S15" si="0">F7</f>
        <v>100</v>
      </c>
      <c r="T7" s="701" t="s">
        <v>14</v>
      </c>
      <c r="U7" s="702">
        <f t="shared" ref="U7:U15" si="1">H7</f>
        <v>100</v>
      </c>
      <c r="V7" s="701" t="s">
        <v>14</v>
      </c>
      <c r="W7" s="702">
        <f t="shared" ref="W7:W15" si="2">J7</f>
        <v>100</v>
      </c>
      <c r="X7" s="703"/>
      <c r="Y7" s="3845" t="s">
        <v>1675</v>
      </c>
      <c r="Z7" s="3846"/>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1" t="s">
        <v>1681</v>
      </c>
      <c r="Q9" s="3446" t="str">
        <f t="shared" ref="Q9:Q15" si="6">B9</f>
        <v>用途</v>
      </c>
      <c r="R9" s="701" t="s">
        <v>14</v>
      </c>
      <c r="S9" s="702">
        <f t="shared" si="0"/>
        <v>100</v>
      </c>
      <c r="T9" s="701" t="s">
        <v>14</v>
      </c>
      <c r="U9" s="702">
        <f t="shared" si="1"/>
        <v>100</v>
      </c>
      <c r="V9" s="701" t="s">
        <v>14</v>
      </c>
      <c r="W9" s="702">
        <f t="shared" si="2"/>
        <v>100</v>
      </c>
      <c r="X9" s="703"/>
      <c r="Y9" s="3667"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1"/>
      <c r="Q10" s="3446" t="str">
        <f t="shared" si="6"/>
        <v>土地使用年限（年）</v>
      </c>
      <c r="R10" s="701" t="s">
        <v>14</v>
      </c>
      <c r="S10" s="702">
        <f t="shared" si="0"/>
        <v>100</v>
      </c>
      <c r="T10" s="701" t="s">
        <v>14</v>
      </c>
      <c r="U10" s="702">
        <f t="shared" si="1"/>
        <v>100</v>
      </c>
      <c r="V10" s="701" t="s">
        <v>14</v>
      </c>
      <c r="W10" s="702">
        <f t="shared" si="2"/>
        <v>100</v>
      </c>
      <c r="X10" s="703"/>
      <c r="Y10" s="3667"/>
      <c r="Z10" s="3445"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1"/>
      <c r="Q11" s="3446" t="str">
        <f t="shared" si="6"/>
        <v>容积率</v>
      </c>
      <c r="R11" s="701" t="s">
        <v>14</v>
      </c>
      <c r="S11" s="702">
        <f t="shared" si="0"/>
        <v>100</v>
      </c>
      <c r="T11" s="701" t="s">
        <v>14</v>
      </c>
      <c r="U11" s="702">
        <f t="shared" si="1"/>
        <v>100</v>
      </c>
      <c r="V11" s="701" t="s">
        <v>14</v>
      </c>
      <c r="W11" s="702">
        <f t="shared" si="2"/>
        <v>100</v>
      </c>
      <c r="X11" s="703"/>
      <c r="Y11" s="3667"/>
      <c r="Z11" s="3445"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1"/>
      <c r="Q12" s="3446">
        <f t="shared" si="6"/>
        <v>111</v>
      </c>
      <c r="R12" s="701" t="s">
        <v>14</v>
      </c>
      <c r="S12" s="702">
        <f t="shared" si="0"/>
        <v>100</v>
      </c>
      <c r="T12" s="701" t="s">
        <v>14</v>
      </c>
      <c r="U12" s="702">
        <f t="shared" si="1"/>
        <v>100</v>
      </c>
      <c r="V12" s="701" t="s">
        <v>14</v>
      </c>
      <c r="W12" s="702">
        <f t="shared" si="2"/>
        <v>100</v>
      </c>
      <c r="X12" s="703"/>
      <c r="Y12" s="3667"/>
      <c r="Z12" s="3445">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1"/>
      <c r="Q13" s="3446">
        <f t="shared" si="6"/>
        <v>111</v>
      </c>
      <c r="R13" s="701" t="s">
        <v>14</v>
      </c>
      <c r="S13" s="702">
        <f t="shared" si="0"/>
        <v>100</v>
      </c>
      <c r="T13" s="701" t="s">
        <v>14</v>
      </c>
      <c r="U13" s="702">
        <f t="shared" si="1"/>
        <v>100</v>
      </c>
      <c r="V13" s="701" t="s">
        <v>14</v>
      </c>
      <c r="W13" s="702">
        <f t="shared" si="2"/>
        <v>100</v>
      </c>
      <c r="X13" s="703"/>
      <c r="Y13" s="3667"/>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1"/>
      <c r="Q14" s="3446">
        <f t="shared" si="6"/>
        <v>111</v>
      </c>
      <c r="R14" s="701" t="s">
        <v>14</v>
      </c>
      <c r="S14" s="702">
        <f t="shared" si="0"/>
        <v>100</v>
      </c>
      <c r="T14" s="701" t="s">
        <v>14</v>
      </c>
      <c r="U14" s="702">
        <f t="shared" si="1"/>
        <v>100</v>
      </c>
      <c r="V14" s="701" t="s">
        <v>14</v>
      </c>
      <c r="W14" s="702">
        <f t="shared" si="2"/>
        <v>100</v>
      </c>
      <c r="X14" s="703"/>
      <c r="Y14" s="3667"/>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11" t="s">
        <v>1686</v>
      </c>
      <c r="Q15" s="3447" t="str">
        <f t="shared" si="6"/>
        <v>居住社区成熟度</v>
      </c>
      <c r="R15" s="705" t="s">
        <v>14</v>
      </c>
      <c r="S15" s="706">
        <f t="shared" si="0"/>
        <v>100</v>
      </c>
      <c r="T15" s="705" t="s">
        <v>14</v>
      </c>
      <c r="U15" s="706">
        <f t="shared" si="1"/>
        <v>100</v>
      </c>
      <c r="V15" s="705" t="s">
        <v>14</v>
      </c>
      <c r="W15" s="706">
        <f t="shared" si="2"/>
        <v>100</v>
      </c>
      <c r="X15" s="3449"/>
      <c r="Y15" s="3813"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12"/>
      <c r="Q16" s="3447"/>
      <c r="R16" s="705"/>
      <c r="S16" s="706"/>
      <c r="T16" s="705"/>
      <c r="U16" s="706"/>
      <c r="V16" s="705"/>
      <c r="W16" s="706"/>
      <c r="X16" s="3449"/>
      <c r="Y16" s="381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12"/>
      <c r="Q17" s="3447" t="str">
        <f>B17</f>
        <v>交通便捷度</v>
      </c>
      <c r="R17" s="705" t="s">
        <v>14</v>
      </c>
      <c r="S17" s="706">
        <f>F17</f>
        <v>100</v>
      </c>
      <c r="T17" s="705" t="s">
        <v>14</v>
      </c>
      <c r="U17" s="706">
        <f>H17</f>
        <v>100</v>
      </c>
      <c r="V17" s="705" t="s">
        <v>14</v>
      </c>
      <c r="W17" s="706">
        <f>J17</f>
        <v>100</v>
      </c>
      <c r="X17" s="3449"/>
      <c r="Y17" s="3814"/>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12"/>
      <c r="Q18" s="3447"/>
      <c r="R18" s="705"/>
      <c r="S18" s="706"/>
      <c r="T18" s="705"/>
      <c r="U18" s="706"/>
      <c r="V18" s="705"/>
      <c r="W18" s="706"/>
      <c r="X18" s="3449"/>
      <c r="Y18" s="381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12"/>
      <c r="Q19" s="3447" t="str">
        <f>B19</f>
        <v>公共配套设施</v>
      </c>
      <c r="R19" s="705" t="s">
        <v>14</v>
      </c>
      <c r="S19" s="706">
        <f>F19</f>
        <v>100</v>
      </c>
      <c r="T19" s="705" t="s">
        <v>14</v>
      </c>
      <c r="U19" s="706">
        <f>H19</f>
        <v>100</v>
      </c>
      <c r="V19" s="705" t="s">
        <v>14</v>
      </c>
      <c r="W19" s="706">
        <f>J19</f>
        <v>100</v>
      </c>
      <c r="X19" s="3449"/>
      <c r="Y19" s="3814"/>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12"/>
      <c r="Q20" s="3447"/>
      <c r="R20" s="705"/>
      <c r="S20" s="706"/>
      <c r="T20" s="705"/>
      <c r="U20" s="706"/>
      <c r="V20" s="705"/>
      <c r="W20" s="706"/>
      <c r="X20" s="3449"/>
      <c r="Y20" s="381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12"/>
      <c r="Q21" s="3447" t="str">
        <f>B21</f>
        <v>基础设施水平</v>
      </c>
      <c r="R21" s="705" t="s">
        <v>14</v>
      </c>
      <c r="S21" s="706">
        <f>F21</f>
        <v>100</v>
      </c>
      <c r="T21" s="705" t="s">
        <v>14</v>
      </c>
      <c r="U21" s="706">
        <f>H21</f>
        <v>100</v>
      </c>
      <c r="V21" s="705" t="s">
        <v>14</v>
      </c>
      <c r="W21" s="706">
        <f>J21</f>
        <v>100</v>
      </c>
      <c r="X21" s="3449"/>
      <c r="Y21" s="3814"/>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12"/>
      <c r="Q22" s="3447"/>
      <c r="R22" s="705"/>
      <c r="S22" s="706"/>
      <c r="T22" s="705"/>
      <c r="U22" s="706"/>
      <c r="V22" s="705"/>
      <c r="W22" s="706"/>
      <c r="X22" s="3449"/>
      <c r="Y22" s="381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12"/>
      <c r="Q23" s="3447" t="str">
        <f>B23</f>
        <v>自然及人文环境</v>
      </c>
      <c r="R23" s="705" t="s">
        <v>14</v>
      </c>
      <c r="S23" s="706">
        <f>F23</f>
        <v>100</v>
      </c>
      <c r="T23" s="705" t="s">
        <v>14</v>
      </c>
      <c r="U23" s="706">
        <f>H23</f>
        <v>100</v>
      </c>
      <c r="V23" s="705" t="s">
        <v>14</v>
      </c>
      <c r="W23" s="706">
        <f>J23</f>
        <v>100</v>
      </c>
      <c r="X23" s="3449"/>
      <c r="Y23" s="3814"/>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12"/>
      <c r="Q24" s="3447"/>
      <c r="R24" s="705"/>
      <c r="S24" s="706"/>
      <c r="T24" s="705"/>
      <c r="U24" s="706"/>
      <c r="V24" s="705"/>
      <c r="W24" s="706"/>
      <c r="X24" s="3449"/>
      <c r="Y24" s="381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1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3521</v>
      </c>
      <c r="F26" s="386">
        <f>SUMIF(88:88,E26,89:89)-SUMIF(88:88,C26,89:89)+100</f>
        <v>99</v>
      </c>
      <c r="G26" s="1907" t="s">
        <v>3520</v>
      </c>
      <c r="H26" s="386">
        <f>SUMIF(88:88,G26,89:89)-SUMIF(88:88,C26,89:89)+100</f>
        <v>99.5</v>
      </c>
      <c r="I26" s="1907" t="s">
        <v>3520</v>
      </c>
      <c r="J26" s="386">
        <f>SUMIF(88:88,I26,89:89)-SUMIF(88:88,C26,89:89)+100</f>
        <v>99.5</v>
      </c>
      <c r="K26" s="377">
        <v>0.5</v>
      </c>
      <c r="L26" s="2719"/>
      <c r="M26" s="2713"/>
      <c r="N26" s="2713"/>
      <c r="O26" s="2713"/>
      <c r="P26" s="3812"/>
      <c r="Q26" s="3447" t="str">
        <f t="shared" si="11"/>
        <v>朝向</v>
      </c>
      <c r="R26" s="705" t="s">
        <v>14</v>
      </c>
      <c r="S26" s="706">
        <f t="shared" si="12"/>
        <v>99</v>
      </c>
      <c r="T26" s="705" t="s">
        <v>14</v>
      </c>
      <c r="U26" s="706">
        <f t="shared" si="13"/>
        <v>99.5</v>
      </c>
      <c r="V26" s="705" t="s">
        <v>14</v>
      </c>
      <c r="W26" s="706">
        <f t="shared" si="14"/>
        <v>99.5</v>
      </c>
      <c r="X26" s="3449"/>
      <c r="Y26" s="3814"/>
      <c r="Z26" s="3450" t="str">
        <f>Q26</f>
        <v>朝向</v>
      </c>
      <c r="AA26" s="3448">
        <f t="shared" si="15"/>
        <v>1.0101010101010102</v>
      </c>
      <c r="AB26" s="3448">
        <f t="shared" si="16"/>
        <v>1.0050251256281406</v>
      </c>
      <c r="AC26" s="3448">
        <f t="shared" si="17"/>
        <v>1.0050251256281406</v>
      </c>
    </row>
    <row r="27" spans="1:29" s="108" customFormat="1" ht="15.75" thickBot="1">
      <c r="A27" s="382"/>
      <c r="B27" s="3501" t="s">
        <v>3510</v>
      </c>
      <c r="C27" s="3513" t="s">
        <v>3522</v>
      </c>
      <c r="D27" s="413">
        <v>100</v>
      </c>
      <c r="E27" s="3513" t="s">
        <v>3522</v>
      </c>
      <c r="F27" s="413">
        <f>SUMIF(90:90,E27,91:91)-SUMIF(90:90,C27,91:91)+100</f>
        <v>100</v>
      </c>
      <c r="G27" s="3514" t="s">
        <v>3523</v>
      </c>
      <c r="H27" s="413">
        <f>SUMIF(90:90,G27,91:91)-SUMIF(90:90,C27,91:91)+100</f>
        <v>98</v>
      </c>
      <c r="I27" s="3514" t="s">
        <v>3523</v>
      </c>
      <c r="J27" s="413">
        <f>SUMIF(90:90,I27,91:91)-SUMIF(90:90,C27,91:91)+100</f>
        <v>98</v>
      </c>
      <c r="K27" s="1894"/>
      <c r="L27" s="2714"/>
      <c r="M27" s="2715"/>
      <c r="N27" s="2715"/>
      <c r="O27" s="2715"/>
      <c r="P27" s="3812"/>
      <c r="Q27" s="3446" t="str">
        <f t="shared" si="11"/>
        <v>楼层</v>
      </c>
      <c r="R27" s="701" t="s">
        <v>14</v>
      </c>
      <c r="S27" s="702">
        <f t="shared" si="12"/>
        <v>100</v>
      </c>
      <c r="T27" s="701" t="s">
        <v>14</v>
      </c>
      <c r="U27" s="702">
        <f t="shared" si="13"/>
        <v>98</v>
      </c>
      <c r="V27" s="701" t="s">
        <v>14</v>
      </c>
      <c r="W27" s="702">
        <f t="shared" si="14"/>
        <v>98</v>
      </c>
      <c r="X27" s="703"/>
      <c r="Y27" s="3814"/>
      <c r="Z27" s="3445" t="str">
        <f>Q27</f>
        <v>楼层</v>
      </c>
      <c r="AA27" s="3448">
        <f t="shared" si="15"/>
        <v>1</v>
      </c>
      <c r="AB27" s="3448">
        <f t="shared" si="16"/>
        <v>1.0204081632653061</v>
      </c>
      <c r="AC27" s="3448">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2"/>
      <c r="Q28" s="3447">
        <f t="shared" si="11"/>
        <v>111</v>
      </c>
      <c r="R28" s="705" t="s">
        <v>14</v>
      </c>
      <c r="S28" s="706">
        <f t="shared" si="12"/>
        <v>100</v>
      </c>
      <c r="T28" s="705" t="s">
        <v>14</v>
      </c>
      <c r="U28" s="706">
        <f t="shared" si="13"/>
        <v>100</v>
      </c>
      <c r="V28" s="705" t="s">
        <v>14</v>
      </c>
      <c r="W28" s="706">
        <f t="shared" si="14"/>
        <v>100</v>
      </c>
      <c r="X28" s="3449"/>
      <c r="Y28" s="3814"/>
      <c r="Z28" s="3450">
        <f t="shared" ref="Z28:Z46" si="18">Q28</f>
        <v>111</v>
      </c>
      <c r="AA28" s="3448">
        <f t="shared" si="15"/>
        <v>1</v>
      </c>
      <c r="AB28" s="3448">
        <f t="shared" si="16"/>
        <v>1</v>
      </c>
      <c r="AC28" s="3448">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2"/>
      <c r="Q29" s="3447">
        <f t="shared" si="11"/>
        <v>111</v>
      </c>
      <c r="R29" s="705" t="s">
        <v>14</v>
      </c>
      <c r="S29" s="706">
        <f t="shared" si="12"/>
        <v>100</v>
      </c>
      <c r="T29" s="705" t="s">
        <v>14</v>
      </c>
      <c r="U29" s="706">
        <f t="shared" si="13"/>
        <v>100</v>
      </c>
      <c r="V29" s="705" t="s">
        <v>14</v>
      </c>
      <c r="W29" s="706">
        <f t="shared" si="14"/>
        <v>100</v>
      </c>
      <c r="X29" s="3449"/>
      <c r="Y29" s="3814"/>
      <c r="Z29" s="3450">
        <f t="shared" si="18"/>
        <v>111</v>
      </c>
      <c r="AA29" s="3448">
        <f t="shared" si="15"/>
        <v>1</v>
      </c>
      <c r="AB29" s="3448">
        <f t="shared" si="16"/>
        <v>1</v>
      </c>
      <c r="AC29" s="3448">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2"/>
      <c r="Q30" s="3447">
        <f t="shared" si="11"/>
        <v>111</v>
      </c>
      <c r="R30" s="705" t="s">
        <v>14</v>
      </c>
      <c r="S30" s="706">
        <f t="shared" si="12"/>
        <v>100</v>
      </c>
      <c r="T30" s="705" t="s">
        <v>14</v>
      </c>
      <c r="U30" s="706">
        <f t="shared" si="13"/>
        <v>100</v>
      </c>
      <c r="V30" s="705" t="s">
        <v>14</v>
      </c>
      <c r="W30" s="706">
        <f t="shared" si="14"/>
        <v>100</v>
      </c>
      <c r="X30" s="3449"/>
      <c r="Y30" s="381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2"/>
      <c r="Q31" s="3447">
        <f t="shared" si="11"/>
        <v>111</v>
      </c>
      <c r="R31" s="705" t="s">
        <v>14</v>
      </c>
      <c r="S31" s="706">
        <f t="shared" si="12"/>
        <v>100</v>
      </c>
      <c r="T31" s="705" t="s">
        <v>14</v>
      </c>
      <c r="U31" s="706">
        <f t="shared" si="13"/>
        <v>100</v>
      </c>
      <c r="V31" s="705" t="s">
        <v>14</v>
      </c>
      <c r="W31" s="706">
        <f t="shared" si="14"/>
        <v>100</v>
      </c>
      <c r="X31" s="3449"/>
      <c r="Y31" s="3814"/>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15" t="s">
        <v>1691</v>
      </c>
      <c r="Q32" s="3447" t="str">
        <f t="shared" si="11"/>
        <v>建筑类型</v>
      </c>
      <c r="R32" s="705" t="s">
        <v>14</v>
      </c>
      <c r="S32" s="706">
        <f t="shared" si="12"/>
        <v>100</v>
      </c>
      <c r="T32" s="705" t="s">
        <v>14</v>
      </c>
      <c r="U32" s="706">
        <f t="shared" si="13"/>
        <v>100</v>
      </c>
      <c r="V32" s="705" t="s">
        <v>14</v>
      </c>
      <c r="W32" s="706">
        <f t="shared" si="14"/>
        <v>100</v>
      </c>
      <c r="X32" s="3449"/>
      <c r="Y32" s="381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f>售价案例!L3</f>
        <v>59.49</v>
      </c>
      <c r="F33" s="376">
        <f>LOOKUP(E33,103:103,104:104)-LOOKUP(C33,103:103,104:104)+100</f>
        <v>104</v>
      </c>
      <c r="G33" s="380">
        <f>售价案例!L4</f>
        <v>59.09</v>
      </c>
      <c r="H33" s="127">
        <f>LOOKUP(G33,103:103,104:104)-LOOKUP(C33,103:103,104:104)+100</f>
        <v>104</v>
      </c>
      <c r="I33" s="381">
        <f>售价案例!L5</f>
        <v>63.91</v>
      </c>
      <c r="J33" s="127">
        <f>LOOKUP(I33,103:103,104:104)-LOOKUP(C33,103:103,104:104)+100</f>
        <v>104</v>
      </c>
      <c r="K33" s="1894"/>
      <c r="L33" s="2718"/>
      <c r="M33" s="2720"/>
      <c r="N33" s="2720"/>
      <c r="O33" s="2720"/>
      <c r="P33" s="3816"/>
      <c r="Q33" s="707" t="str">
        <f t="shared" si="11"/>
        <v>项目建筑规模</v>
      </c>
      <c r="R33" s="708" t="s">
        <v>14</v>
      </c>
      <c r="S33" s="709">
        <f t="shared" si="12"/>
        <v>104</v>
      </c>
      <c r="T33" s="708" t="s">
        <v>14</v>
      </c>
      <c r="U33" s="709">
        <f t="shared" si="13"/>
        <v>104</v>
      </c>
      <c r="V33" s="708" t="s">
        <v>14</v>
      </c>
      <c r="W33" s="709">
        <f t="shared" si="14"/>
        <v>104</v>
      </c>
      <c r="X33" s="710"/>
      <c r="Y33" s="3818"/>
      <c r="Z33" s="711" t="str">
        <f t="shared" si="18"/>
        <v>项目建筑规模</v>
      </c>
      <c r="AA33" s="3448">
        <f t="shared" si="15"/>
        <v>0.96153846153846156</v>
      </c>
      <c r="AB33" s="3448">
        <f t="shared" si="16"/>
        <v>0.96153846153846156</v>
      </c>
      <c r="AC33" s="3448">
        <f t="shared" si="17"/>
        <v>0.96153846153846156</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16"/>
      <c r="Q34" s="3447" t="str">
        <f t="shared" si="11"/>
        <v>建筑结构</v>
      </c>
      <c r="R34" s="705" t="s">
        <v>14</v>
      </c>
      <c r="S34" s="706">
        <f t="shared" si="12"/>
        <v>100</v>
      </c>
      <c r="T34" s="705" t="s">
        <v>14</v>
      </c>
      <c r="U34" s="706">
        <f t="shared" si="13"/>
        <v>100</v>
      </c>
      <c r="V34" s="705" t="s">
        <v>14</v>
      </c>
      <c r="W34" s="706">
        <f t="shared" si="14"/>
        <v>100</v>
      </c>
      <c r="X34" s="3449"/>
      <c r="Y34" s="381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16"/>
      <c r="Q35" s="3447" t="str">
        <f t="shared" si="11"/>
        <v>建筑品质</v>
      </c>
      <c r="R35" s="705" t="s">
        <v>14</v>
      </c>
      <c r="S35" s="706">
        <f t="shared" si="12"/>
        <v>100</v>
      </c>
      <c r="T35" s="705" t="s">
        <v>14</v>
      </c>
      <c r="U35" s="706">
        <f t="shared" si="13"/>
        <v>100</v>
      </c>
      <c r="V35" s="705" t="s">
        <v>14</v>
      </c>
      <c r="W35" s="706">
        <f t="shared" si="14"/>
        <v>100</v>
      </c>
      <c r="X35" s="3449"/>
      <c r="Y35" s="3818"/>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16"/>
      <c r="Q36" s="3447" t="str">
        <f t="shared" si="11"/>
        <v>公共部分装修</v>
      </c>
      <c r="R36" s="705" t="s">
        <v>14</v>
      </c>
      <c r="S36" s="706">
        <f t="shared" si="12"/>
        <v>100</v>
      </c>
      <c r="T36" s="705" t="s">
        <v>14</v>
      </c>
      <c r="U36" s="706">
        <f t="shared" si="13"/>
        <v>100</v>
      </c>
      <c r="V36" s="705" t="s">
        <v>14</v>
      </c>
      <c r="W36" s="706">
        <f t="shared" si="14"/>
        <v>100</v>
      </c>
      <c r="X36" s="3449"/>
      <c r="Y36" s="381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16"/>
      <c r="Q37" s="3446" t="str">
        <f t="shared" si="11"/>
        <v>成新度</v>
      </c>
      <c r="R37" s="701" t="s">
        <v>14</v>
      </c>
      <c r="S37" s="702">
        <f t="shared" si="12"/>
        <v>100</v>
      </c>
      <c r="T37" s="701" t="s">
        <v>14</v>
      </c>
      <c r="U37" s="702">
        <f t="shared" si="13"/>
        <v>100</v>
      </c>
      <c r="V37" s="701" t="s">
        <v>14</v>
      </c>
      <c r="W37" s="702">
        <f t="shared" si="14"/>
        <v>100</v>
      </c>
      <c r="X37" s="703"/>
      <c r="Y37" s="3818"/>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16" t="s">
        <v>1691</v>
      </c>
      <c r="Q38" s="3447" t="str">
        <f t="shared" si="11"/>
        <v>物业管理</v>
      </c>
      <c r="R38" s="705" t="s">
        <v>14</v>
      </c>
      <c r="S38" s="706">
        <f t="shared" si="12"/>
        <v>100</v>
      </c>
      <c r="T38" s="705" t="s">
        <v>14</v>
      </c>
      <c r="U38" s="706">
        <f t="shared" si="13"/>
        <v>100</v>
      </c>
      <c r="V38" s="705" t="s">
        <v>14</v>
      </c>
      <c r="W38" s="706">
        <f t="shared" si="14"/>
        <v>100</v>
      </c>
      <c r="X38" s="3449"/>
      <c r="Y38" s="3818"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16"/>
      <c r="Q39" s="3447" t="str">
        <f t="shared" si="11"/>
        <v>市政基础设施</v>
      </c>
      <c r="R39" s="705" t="s">
        <v>14</v>
      </c>
      <c r="S39" s="706">
        <f t="shared" si="12"/>
        <v>100</v>
      </c>
      <c r="T39" s="705" t="s">
        <v>14</v>
      </c>
      <c r="U39" s="706">
        <f t="shared" si="13"/>
        <v>100</v>
      </c>
      <c r="V39" s="705" t="s">
        <v>14</v>
      </c>
      <c r="W39" s="706">
        <f t="shared" si="14"/>
        <v>100</v>
      </c>
      <c r="X39" s="3449"/>
      <c r="Y39" s="3818"/>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16"/>
      <c r="Q40" s="3447" t="str">
        <f t="shared" si="11"/>
        <v>房型</v>
      </c>
      <c r="R40" s="705" t="s">
        <v>14</v>
      </c>
      <c r="S40" s="706">
        <f t="shared" si="12"/>
        <v>100</v>
      </c>
      <c r="T40" s="705" t="s">
        <v>14</v>
      </c>
      <c r="U40" s="706">
        <f t="shared" si="13"/>
        <v>100</v>
      </c>
      <c r="V40" s="705" t="s">
        <v>14</v>
      </c>
      <c r="W40" s="706">
        <f t="shared" si="14"/>
        <v>100</v>
      </c>
      <c r="X40" s="3449"/>
      <c r="Y40" s="381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16"/>
      <c r="Q41" s="707" t="str">
        <f t="shared" si="11"/>
        <v>单套/主力户型建筑面积</v>
      </c>
      <c r="R41" s="708" t="s">
        <v>14</v>
      </c>
      <c r="S41" s="709">
        <f t="shared" si="12"/>
        <v>100</v>
      </c>
      <c r="T41" s="708" t="s">
        <v>14</v>
      </c>
      <c r="U41" s="709">
        <f t="shared" si="13"/>
        <v>100</v>
      </c>
      <c r="V41" s="708" t="s">
        <v>14</v>
      </c>
      <c r="W41" s="709">
        <f t="shared" si="14"/>
        <v>100</v>
      </c>
      <c r="X41" s="710"/>
      <c r="Y41" s="3818"/>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2</v>
      </c>
      <c r="L42" s="2719"/>
      <c r="M42" s="2713"/>
      <c r="N42" s="2713"/>
      <c r="O42" s="2713"/>
      <c r="P42" s="3816"/>
      <c r="Q42" s="3447" t="str">
        <f t="shared" si="11"/>
        <v>内部装修</v>
      </c>
      <c r="R42" s="705" t="s">
        <v>14</v>
      </c>
      <c r="S42" s="706">
        <f t="shared" si="12"/>
        <v>100</v>
      </c>
      <c r="T42" s="705" t="s">
        <v>14</v>
      </c>
      <c r="U42" s="706">
        <f t="shared" si="13"/>
        <v>100</v>
      </c>
      <c r="V42" s="705" t="s">
        <v>14</v>
      </c>
      <c r="W42" s="706">
        <f t="shared" si="14"/>
        <v>100</v>
      </c>
      <c r="X42" s="3449"/>
      <c r="Y42" s="3818"/>
      <c r="Z42" s="3450" t="str">
        <f t="shared" si="18"/>
        <v>内部装修</v>
      </c>
      <c r="AA42" s="3448">
        <f t="shared" si="15"/>
        <v>1</v>
      </c>
      <c r="AB42" s="3448">
        <f t="shared" si="16"/>
        <v>1</v>
      </c>
      <c r="AC42" s="3448">
        <f t="shared" si="17"/>
        <v>1</v>
      </c>
    </row>
    <row r="43" spans="1:29" ht="15.75" thickBot="1">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16"/>
      <c r="Q43" s="3447" t="str">
        <f t="shared" si="11"/>
        <v>内部装修维护情况</v>
      </c>
      <c r="R43" s="705" t="s">
        <v>14</v>
      </c>
      <c r="S43" s="706">
        <f t="shared" si="12"/>
        <v>100</v>
      </c>
      <c r="T43" s="705" t="s">
        <v>14</v>
      </c>
      <c r="U43" s="706">
        <f t="shared" si="13"/>
        <v>100</v>
      </c>
      <c r="V43" s="705" t="s">
        <v>14</v>
      </c>
      <c r="W43" s="706">
        <f t="shared" si="14"/>
        <v>100</v>
      </c>
      <c r="X43" s="3449"/>
      <c r="Y43" s="3818"/>
      <c r="Z43" s="3450" t="str">
        <f t="shared" si="18"/>
        <v>内部装修维护情况</v>
      </c>
      <c r="AA43" s="3448">
        <f t="shared" si="15"/>
        <v>1</v>
      </c>
      <c r="AB43" s="3448">
        <f t="shared" si="16"/>
        <v>1</v>
      </c>
      <c r="AC43" s="3448">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16"/>
      <c r="Q44" s="3446">
        <f t="shared" si="11"/>
        <v>111</v>
      </c>
      <c r="R44" s="701" t="s">
        <v>14</v>
      </c>
      <c r="S44" s="702">
        <f t="shared" si="12"/>
        <v>100</v>
      </c>
      <c r="T44" s="701" t="s">
        <v>14</v>
      </c>
      <c r="U44" s="702">
        <f t="shared" si="13"/>
        <v>100</v>
      </c>
      <c r="V44" s="701" t="s">
        <v>14</v>
      </c>
      <c r="W44" s="702">
        <f t="shared" si="14"/>
        <v>100</v>
      </c>
      <c r="X44" s="703"/>
      <c r="Y44" s="3818"/>
      <c r="Z44" s="3445">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16"/>
      <c r="Q45" s="3447">
        <f t="shared" si="11"/>
        <v>111</v>
      </c>
      <c r="R45" s="705" t="s">
        <v>14</v>
      </c>
      <c r="S45" s="706">
        <f t="shared" si="12"/>
        <v>100</v>
      </c>
      <c r="T45" s="705" t="s">
        <v>14</v>
      </c>
      <c r="U45" s="706">
        <f t="shared" si="13"/>
        <v>100</v>
      </c>
      <c r="V45" s="705" t="s">
        <v>14</v>
      </c>
      <c r="W45" s="706">
        <f t="shared" si="14"/>
        <v>100</v>
      </c>
      <c r="X45" s="3449"/>
      <c r="Y45" s="3818"/>
      <c r="Z45" s="3450">
        <f t="shared" si="18"/>
        <v>111</v>
      </c>
      <c r="AA45" s="3448">
        <f t="shared" si="15"/>
        <v>1</v>
      </c>
      <c r="AB45" s="3448">
        <f t="shared" si="16"/>
        <v>1</v>
      </c>
      <c r="AC45" s="3448">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7"/>
      <c r="Q46" s="3447">
        <f t="shared" si="11"/>
        <v>111</v>
      </c>
      <c r="R46" s="705" t="s">
        <v>14</v>
      </c>
      <c r="S46" s="706">
        <f t="shared" si="12"/>
        <v>100</v>
      </c>
      <c r="T46" s="705" t="s">
        <v>14</v>
      </c>
      <c r="U46" s="706">
        <f t="shared" si="13"/>
        <v>100</v>
      </c>
      <c r="V46" s="705" t="s">
        <v>14</v>
      </c>
      <c r="W46" s="706">
        <f t="shared" si="14"/>
        <v>100</v>
      </c>
      <c r="X46" s="3449"/>
      <c r="Y46" s="3819"/>
      <c r="Z46" s="3450">
        <f t="shared" si="18"/>
        <v>111</v>
      </c>
      <c r="AA46" s="3448">
        <f t="shared" si="15"/>
        <v>1</v>
      </c>
      <c r="AB46" s="3448">
        <f t="shared" si="16"/>
        <v>1</v>
      </c>
      <c r="AC46" s="3448">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06" t="str">
        <f>A47</f>
        <v>成交单价（元/平方米）</v>
      </c>
      <c r="Q47" s="3806"/>
      <c r="R47" s="3807">
        <f>E47</f>
        <v>123551</v>
      </c>
      <c r="S47" s="3807"/>
      <c r="T47" s="3807">
        <f>G47</f>
        <v>124556</v>
      </c>
      <c r="U47" s="3807"/>
      <c r="V47" s="3807">
        <f>I47</f>
        <v>120169</v>
      </c>
      <c r="W47" s="3807"/>
      <c r="X47" s="690"/>
      <c r="Y47" s="712"/>
      <c r="Z47" s="690"/>
      <c r="AA47" s="690"/>
      <c r="AB47" s="690"/>
      <c r="AC47" s="690"/>
    </row>
    <row r="48" spans="1:29" ht="15.75" thickBot="1">
      <c r="A48" s="437" t="s">
        <v>1704</v>
      </c>
      <c r="B48" s="438"/>
      <c r="C48" s="1160">
        <f>R49</f>
        <v>120440</v>
      </c>
      <c r="D48" s="2315" t="s">
        <v>2130</v>
      </c>
      <c r="E48" s="1161">
        <f>R48</f>
        <v>119999</v>
      </c>
      <c r="F48" s="2316"/>
      <c r="G48" s="1160">
        <f>T48</f>
        <v>122824</v>
      </c>
      <c r="H48" s="2316"/>
      <c r="I48" s="1161">
        <f>V48</f>
        <v>118498</v>
      </c>
      <c r="J48" s="2316"/>
      <c r="K48" s="2317">
        <f>F48+H48+J48</f>
        <v>0</v>
      </c>
      <c r="L48" s="2721"/>
      <c r="M48" s="2722"/>
      <c r="N48" s="2722"/>
      <c r="O48" s="2722"/>
      <c r="P48" s="3806" t="str">
        <f>A48</f>
        <v>比较价值（元/平方米）</v>
      </c>
      <c r="Q48" s="3806"/>
      <c r="R48" s="3807">
        <f>IF(F1="售价",ROUND(PRODUCT(R47,AA7:AA46),0),ROUND(PRODUCT(R47,AA7:AA46),1))</f>
        <v>119999</v>
      </c>
      <c r="S48" s="3807"/>
      <c r="T48" s="3807">
        <f>IF(F1="售价",ROUND(PRODUCT(T47,AB7:AB46),0),ROUND(PRODUCT(T47,AB7:AB46),1))</f>
        <v>122824</v>
      </c>
      <c r="U48" s="3807"/>
      <c r="V48" s="3807">
        <f>IF(F1="售价",ROUND(PRODUCT(V47,AC7:AC46),0),ROUND(PRODUCT(V47,AC7:AC46),1))</f>
        <v>118498</v>
      </c>
      <c r="W48" s="3807"/>
      <c r="X48" s="690"/>
      <c r="Y48" s="690"/>
      <c r="Z48" s="690"/>
      <c r="AA48" s="690"/>
      <c r="AB48" s="690"/>
      <c r="AC48" s="690"/>
    </row>
    <row r="49" spans="1:29" ht="15.75" thickBot="1">
      <c r="A49" s="3503" t="s">
        <v>3511</v>
      </c>
      <c r="B49" s="442"/>
      <c r="C49" s="1162">
        <f>R49</f>
        <v>120440</v>
      </c>
      <c r="D49" s="1163"/>
      <c r="E49" s="1163"/>
      <c r="F49" s="1163"/>
      <c r="G49" s="1163"/>
      <c r="H49" s="1163"/>
      <c r="I49" s="1163"/>
      <c r="J49" s="1163"/>
      <c r="K49" s="1913"/>
      <c r="L49" s="2721"/>
      <c r="M49" s="2722"/>
      <c r="N49" s="2722"/>
      <c r="O49" s="2722"/>
      <c r="P49" s="3808" t="str">
        <f>A49</f>
        <v>估价对象住宅用房的比较价值（月租金单价，元/平方米/月）</v>
      </c>
      <c r="Q49" s="3809"/>
      <c r="R49" s="3810">
        <f>IF(F1="售价",ROUND(IF(D48="简单平均",AVERAGE(R48:V48),R48*F48+T48*H48+V48*J48),0),ROUND(IF(D48="简单平均",AVERAGE(R48:V48),R48*F48+T48*H48+V48*J48),1))</f>
        <v>120440</v>
      </c>
      <c r="S49" s="3810"/>
      <c r="T49" s="3810"/>
      <c r="U49" s="3810"/>
      <c r="V49" s="3810"/>
      <c r="W49" s="381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2.9600246668722185E-2</v>
      </c>
      <c r="F52" s="449" t="str">
        <f>IF(OR(E52&gt;=0.3,E52&lt;=-0.3),"超过30%","")</f>
        <v/>
      </c>
      <c r="G52" s="448">
        <f>IF(G47&lt;G48,G48/G47-1,G47/G48-1)</f>
        <v>1.4101478538396384E-2</v>
      </c>
      <c r="H52" s="449" t="str">
        <f>IF(OR(G52&gt;=0.3,G52&lt;=-0.3),"超过30%","")</f>
        <v/>
      </c>
      <c r="I52" s="448">
        <f>IF(I47&lt;I48,I48/I47-1,I47/I48-1)</f>
        <v>1.4101503822849359E-2</v>
      </c>
      <c r="J52" s="449" t="str">
        <f>IF(OR(I52&gt;=0.3,I52&lt;=-0.3),"超过30%","")</f>
        <v/>
      </c>
      <c r="K52" s="2727"/>
      <c r="L52" s="2723"/>
      <c r="M52" s="2722"/>
      <c r="N52" s="2722"/>
      <c r="O52" s="2722"/>
    </row>
    <row r="53" spans="1:29" ht="13.5" customHeight="1">
      <c r="A53" s="2722"/>
      <c r="B53" s="2722"/>
      <c r="C53" s="446" t="s">
        <v>1706</v>
      </c>
      <c r="D53" s="450"/>
      <c r="E53" s="448">
        <f>IF(E48&lt;G48,G48/E48-1,E48/G48-1)</f>
        <v>2.3541862848857065E-2</v>
      </c>
      <c r="F53" s="449" t="str">
        <f>IF(OR(E53&gt;=0.2,E53&lt;=-0.2),"超过20%","")</f>
        <v/>
      </c>
      <c r="G53" s="448">
        <f>IF(G48&lt;I48,I48/G48-1,G48/I48-1)</f>
        <v>3.6506945264898949E-2</v>
      </c>
      <c r="H53" s="449" t="str">
        <f>IF(OR(G53&gt;=0.2,G53&lt;=-0.2),"超过20%","")</f>
        <v/>
      </c>
      <c r="I53" s="448">
        <f>IF(I48&lt;E48,E48/I48-1,I48/E48-1)</f>
        <v>1.2666880453678475E-2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34">
        <f t="shared" ref="N89" si="26">M89-$K26</f>
        <v>94.5</v>
      </c>
      <c r="O89" s="3534">
        <f t="shared" ref="O89" si="27">N89-$K26</f>
        <v>94</v>
      </c>
      <c r="P89" s="3534">
        <f t="shared" ref="P89" si="28">O89-$K26</f>
        <v>93.5</v>
      </c>
      <c r="Q89" s="3534">
        <f t="shared" ref="Q89:R89" si="29">P89-$K26</f>
        <v>93</v>
      </c>
      <c r="R89" s="3534">
        <f t="shared" si="29"/>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4" priority="18" stopIfTrue="1" operator="containsText" text="超过">
      <formula>NOT(ISERROR(SEARCH("超过",F52)))</formula>
    </cfRule>
  </conditionalFormatting>
  <conditionalFormatting sqref="J54">
    <cfRule type="containsText" dxfId="153" priority="17" stopIfTrue="1" operator="containsText" text="超过">
      <formula>NOT(ISERROR(SEARCH("超过",J54)))</formula>
    </cfRule>
  </conditionalFormatting>
  <conditionalFormatting sqref="H54">
    <cfRule type="containsText" dxfId="152" priority="16" stopIfTrue="1" operator="containsText" text="超过">
      <formula>NOT(ISERROR(SEARCH("超过",H54)))</formula>
    </cfRule>
  </conditionalFormatting>
  <conditionalFormatting sqref="F54">
    <cfRule type="containsText" dxfId="151" priority="15" stopIfTrue="1" operator="containsText" text="超过">
      <formula>NOT(ISERROR(SEARCH("超过",F54)))</formula>
    </cfRule>
  </conditionalFormatting>
  <conditionalFormatting sqref="F53 H53 J53">
    <cfRule type="containsText" dxfId="150" priority="14" stopIfTrue="1" operator="containsText" text="超过">
      <formula>NOT(ISERROR(SEARCH("超过",F53)))</formula>
    </cfRule>
  </conditionalFormatting>
  <conditionalFormatting sqref="E52">
    <cfRule type="expression" dxfId="149" priority="13"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14" sqref="L14"/>
    </sheetView>
  </sheetViews>
  <sheetFormatPr defaultRowHeight="13.5"/>
  <sheetData>
    <row r="2" spans="11:15" ht="24">
      <c r="K2" s="3792" t="s">
        <v>3513</v>
      </c>
      <c r="L2" s="3504" t="s">
        <v>3514</v>
      </c>
      <c r="M2" s="3504" t="s">
        <v>3550</v>
      </c>
      <c r="N2" s="3504" t="s">
        <v>3515</v>
      </c>
      <c r="O2" s="3504" t="s">
        <v>3510</v>
      </c>
    </row>
    <row r="3" spans="11:15">
      <c r="K3" s="3792"/>
      <c r="L3" s="3505">
        <v>59.49</v>
      </c>
      <c r="M3" s="3505">
        <v>123551</v>
      </c>
      <c r="N3" s="3505" t="s">
        <v>3551</v>
      </c>
      <c r="O3" s="3505" t="s">
        <v>3553</v>
      </c>
    </row>
    <row r="4" spans="11:15">
      <c r="K4" s="3792"/>
      <c r="L4" s="3505">
        <v>59.09</v>
      </c>
      <c r="M4" s="3505">
        <v>124556</v>
      </c>
      <c r="N4" s="3505" t="s">
        <v>3552</v>
      </c>
      <c r="O4" s="3505" t="s">
        <v>3519</v>
      </c>
    </row>
    <row r="5" spans="11:15">
      <c r="K5" s="3792"/>
      <c r="L5" s="3505">
        <v>63.91</v>
      </c>
      <c r="M5" s="3505">
        <v>120169</v>
      </c>
      <c r="N5" s="3505" t="s">
        <v>3554</v>
      </c>
      <c r="O5" s="3505" t="s">
        <v>3519</v>
      </c>
    </row>
  </sheetData>
  <mergeCells count="1">
    <mergeCell ref="K2:K5"/>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zoomScale="80" zoomScaleNormal="60" zoomScaleSheetLayoutView="80" workbookViewId="0">
      <selection activeCell="G21" sqref="G2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t="e">
        <f>IF(E1="项目模式",IF(C2="——",ROUND(C49*D3/10000,0),ROUND(C49*D3/10000,0)-D2),IF(E1="单套模式",IF(C2="——",ROUND(C49*D3/10000,4),ROUND(C49*D3/10000,4)-D2)))</f>
        <v>#REF!</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t="e">
        <f>IF(C2="——",C49,ROUND(B2*10000/D3,0))</f>
        <v>#REF!</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5" t="s">
        <v>1662</v>
      </c>
      <c r="D4" s="3826"/>
      <c r="E4" s="3827" t="s">
        <v>1663</v>
      </c>
      <c r="F4" s="3828"/>
      <c r="G4" s="3825" t="s">
        <v>1664</v>
      </c>
      <c r="H4" s="3826"/>
      <c r="I4" s="3825" t="s">
        <v>1665</v>
      </c>
      <c r="J4" s="3826"/>
      <c r="K4" s="1889" t="s">
        <v>1666</v>
      </c>
      <c r="L4" s="2712"/>
      <c r="M4" s="2713"/>
      <c r="N4" s="2713"/>
      <c r="O4" s="2713"/>
      <c r="P4" s="3829" t="s">
        <v>1667</v>
      </c>
      <c r="Q4" s="3830"/>
      <c r="R4" s="3835" t="s">
        <v>1663</v>
      </c>
      <c r="S4" s="3836"/>
      <c r="T4" s="3835" t="s">
        <v>1664</v>
      </c>
      <c r="U4" s="3836"/>
      <c r="V4" s="3820" t="s">
        <v>1665</v>
      </c>
      <c r="W4" s="3820"/>
      <c r="X4" s="3449"/>
      <c r="Y4" s="3835" t="s">
        <v>1667</v>
      </c>
      <c r="Z4" s="3836"/>
      <c r="AA4" s="3822" t="s">
        <v>1663</v>
      </c>
      <c r="AB4" s="3822" t="s">
        <v>1664</v>
      </c>
      <c r="AC4" s="3822" t="s">
        <v>1665</v>
      </c>
    </row>
    <row r="5" spans="1:29" ht="15.75" thickBot="1">
      <c r="A5" s="358"/>
      <c r="B5" s="359"/>
      <c r="C5" s="3848" t="s">
        <v>3500</v>
      </c>
      <c r="D5" s="3844"/>
      <c r="E5" s="3855" t="str">
        <f>C5</f>
        <v>双榆树西里</v>
      </c>
      <c r="F5" s="3854"/>
      <c r="G5" s="3843" t="str">
        <f>C5</f>
        <v>双榆树西里</v>
      </c>
      <c r="H5" s="3844"/>
      <c r="I5" s="3843" t="str">
        <f>C5</f>
        <v>双榆树西里</v>
      </c>
      <c r="J5" s="3844"/>
      <c r="K5" s="1890"/>
      <c r="L5" s="2712"/>
      <c r="M5" s="2713"/>
      <c r="N5" s="2713"/>
      <c r="O5" s="2713"/>
      <c r="P5" s="3831"/>
      <c r="Q5" s="3832"/>
      <c r="R5" s="3837"/>
      <c r="S5" s="3838"/>
      <c r="T5" s="3837"/>
      <c r="U5" s="3838"/>
      <c r="V5" s="3820"/>
      <c r="W5" s="3820"/>
      <c r="X5" s="3449"/>
      <c r="Y5" s="3837"/>
      <c r="Z5" s="3838"/>
      <c r="AA5" s="3823"/>
      <c r="AB5" s="3823"/>
      <c r="AC5" s="3823"/>
    </row>
    <row r="6" spans="1:29" ht="15.75" hidden="1" thickBot="1">
      <c r="A6" s="360"/>
      <c r="B6" s="361"/>
      <c r="C6" s="3856" t="s">
        <v>1672</v>
      </c>
      <c r="D6" s="3842"/>
      <c r="E6" s="3857" t="s">
        <v>1672</v>
      </c>
      <c r="F6" s="3852"/>
      <c r="G6" s="3856" t="s">
        <v>1672</v>
      </c>
      <c r="H6" s="3842"/>
      <c r="I6" s="3856" t="s">
        <v>1672</v>
      </c>
      <c r="J6" s="3842"/>
      <c r="K6" s="1890" t="s">
        <v>1673</v>
      </c>
      <c r="L6" s="2712"/>
      <c r="M6" s="2713"/>
      <c r="N6" s="2713"/>
      <c r="O6" s="2713"/>
      <c r="P6" s="3833"/>
      <c r="Q6" s="3834"/>
      <c r="R6" s="3837"/>
      <c r="S6" s="3838"/>
      <c r="T6" s="3839"/>
      <c r="U6" s="3840"/>
      <c r="V6" s="3820"/>
      <c r="W6" s="3820"/>
      <c r="X6" s="3449"/>
      <c r="Y6" s="3839"/>
      <c r="Z6" s="3840"/>
      <c r="AA6" s="3824"/>
      <c r="AB6" s="3824"/>
      <c r="AC6" s="3824"/>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45" t="s">
        <v>1675</v>
      </c>
      <c r="Q7" s="3847"/>
      <c r="R7" s="701" t="s">
        <v>14</v>
      </c>
      <c r="S7" s="702">
        <f t="shared" ref="S7:S15" si="0">F7</f>
        <v>100</v>
      </c>
      <c r="T7" s="701" t="s">
        <v>14</v>
      </c>
      <c r="U7" s="702">
        <f t="shared" ref="U7:U15" si="1">H7</f>
        <v>100</v>
      </c>
      <c r="V7" s="701" t="s">
        <v>14</v>
      </c>
      <c r="W7" s="702">
        <f t="shared" ref="W7:W15" si="2">J7</f>
        <v>100</v>
      </c>
      <c r="X7" s="703"/>
      <c r="Y7" s="3845" t="s">
        <v>1675</v>
      </c>
      <c r="Z7" s="3846"/>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1" t="s">
        <v>1681</v>
      </c>
      <c r="Q9" s="3446" t="str">
        <f t="shared" ref="Q9:Q15" si="6">B9</f>
        <v>用途</v>
      </c>
      <c r="R9" s="701" t="s">
        <v>14</v>
      </c>
      <c r="S9" s="702">
        <f t="shared" si="0"/>
        <v>100</v>
      </c>
      <c r="T9" s="701" t="s">
        <v>14</v>
      </c>
      <c r="U9" s="702">
        <f t="shared" si="1"/>
        <v>100</v>
      </c>
      <c r="V9" s="701" t="s">
        <v>14</v>
      </c>
      <c r="W9" s="702">
        <f t="shared" si="2"/>
        <v>100</v>
      </c>
      <c r="X9" s="703"/>
      <c r="Y9" s="3667"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1"/>
      <c r="Q10" s="3446" t="str">
        <f t="shared" si="6"/>
        <v>土地使用年限（年）</v>
      </c>
      <c r="R10" s="701" t="s">
        <v>14</v>
      </c>
      <c r="S10" s="702">
        <f t="shared" si="0"/>
        <v>100</v>
      </c>
      <c r="T10" s="701" t="s">
        <v>14</v>
      </c>
      <c r="U10" s="702">
        <f t="shared" si="1"/>
        <v>100</v>
      </c>
      <c r="V10" s="701" t="s">
        <v>14</v>
      </c>
      <c r="W10" s="702">
        <f t="shared" si="2"/>
        <v>100</v>
      </c>
      <c r="X10" s="703"/>
      <c r="Y10" s="3667"/>
      <c r="Z10" s="3445"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1"/>
      <c r="Q11" s="3446" t="str">
        <f t="shared" si="6"/>
        <v>容积率</v>
      </c>
      <c r="R11" s="701" t="s">
        <v>14</v>
      </c>
      <c r="S11" s="702">
        <f t="shared" si="0"/>
        <v>100</v>
      </c>
      <c r="T11" s="701" t="s">
        <v>14</v>
      </c>
      <c r="U11" s="702">
        <f t="shared" si="1"/>
        <v>100</v>
      </c>
      <c r="V11" s="701" t="s">
        <v>14</v>
      </c>
      <c r="W11" s="702">
        <f t="shared" si="2"/>
        <v>100</v>
      </c>
      <c r="X11" s="703"/>
      <c r="Y11" s="3667"/>
      <c r="Z11" s="3445"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1"/>
      <c r="Q12" s="3446">
        <f t="shared" si="6"/>
        <v>111</v>
      </c>
      <c r="R12" s="701" t="s">
        <v>14</v>
      </c>
      <c r="S12" s="702">
        <f t="shared" si="0"/>
        <v>100</v>
      </c>
      <c r="T12" s="701" t="s">
        <v>14</v>
      </c>
      <c r="U12" s="702">
        <f t="shared" si="1"/>
        <v>100</v>
      </c>
      <c r="V12" s="701" t="s">
        <v>14</v>
      </c>
      <c r="W12" s="702">
        <f t="shared" si="2"/>
        <v>100</v>
      </c>
      <c r="X12" s="703"/>
      <c r="Y12" s="3667"/>
      <c r="Z12" s="3445">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1"/>
      <c r="Q13" s="3446">
        <f t="shared" si="6"/>
        <v>111</v>
      </c>
      <c r="R13" s="701" t="s">
        <v>14</v>
      </c>
      <c r="S13" s="702">
        <f t="shared" si="0"/>
        <v>100</v>
      </c>
      <c r="T13" s="701" t="s">
        <v>14</v>
      </c>
      <c r="U13" s="702">
        <f t="shared" si="1"/>
        <v>100</v>
      </c>
      <c r="V13" s="701" t="s">
        <v>14</v>
      </c>
      <c r="W13" s="702">
        <f t="shared" si="2"/>
        <v>100</v>
      </c>
      <c r="X13" s="703"/>
      <c r="Y13" s="3667"/>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1"/>
      <c r="Q14" s="3446">
        <f t="shared" si="6"/>
        <v>111</v>
      </c>
      <c r="R14" s="701" t="s">
        <v>14</v>
      </c>
      <c r="S14" s="702">
        <f t="shared" si="0"/>
        <v>100</v>
      </c>
      <c r="T14" s="701" t="s">
        <v>14</v>
      </c>
      <c r="U14" s="702">
        <f t="shared" si="1"/>
        <v>100</v>
      </c>
      <c r="V14" s="701" t="s">
        <v>14</v>
      </c>
      <c r="W14" s="702">
        <f t="shared" si="2"/>
        <v>100</v>
      </c>
      <c r="X14" s="703"/>
      <c r="Y14" s="3667"/>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11" t="s">
        <v>1686</v>
      </c>
      <c r="Q15" s="3447" t="str">
        <f t="shared" si="6"/>
        <v>居住社区成熟度</v>
      </c>
      <c r="R15" s="705" t="s">
        <v>14</v>
      </c>
      <c r="S15" s="706">
        <f t="shared" si="0"/>
        <v>100</v>
      </c>
      <c r="T15" s="705" t="s">
        <v>14</v>
      </c>
      <c r="U15" s="706">
        <f t="shared" si="1"/>
        <v>100</v>
      </c>
      <c r="V15" s="705" t="s">
        <v>14</v>
      </c>
      <c r="W15" s="706">
        <f t="shared" si="2"/>
        <v>100</v>
      </c>
      <c r="X15" s="3449"/>
      <c r="Y15" s="3813"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12"/>
      <c r="Q16" s="3447"/>
      <c r="R16" s="705"/>
      <c r="S16" s="706"/>
      <c r="T16" s="705"/>
      <c r="U16" s="706"/>
      <c r="V16" s="705"/>
      <c r="W16" s="706"/>
      <c r="X16" s="3449"/>
      <c r="Y16" s="381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12"/>
      <c r="Q17" s="3447" t="str">
        <f>B17</f>
        <v>交通便捷度</v>
      </c>
      <c r="R17" s="705" t="s">
        <v>14</v>
      </c>
      <c r="S17" s="706">
        <f>F17</f>
        <v>100</v>
      </c>
      <c r="T17" s="705" t="s">
        <v>14</v>
      </c>
      <c r="U17" s="706">
        <f>H17</f>
        <v>100</v>
      </c>
      <c r="V17" s="705" t="s">
        <v>14</v>
      </c>
      <c r="W17" s="706">
        <f>J17</f>
        <v>100</v>
      </c>
      <c r="X17" s="3449"/>
      <c r="Y17" s="3814"/>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12"/>
      <c r="Q18" s="3447"/>
      <c r="R18" s="705"/>
      <c r="S18" s="706"/>
      <c r="T18" s="705"/>
      <c r="U18" s="706"/>
      <c r="V18" s="705"/>
      <c r="W18" s="706"/>
      <c r="X18" s="3449"/>
      <c r="Y18" s="381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12"/>
      <c r="Q19" s="3447" t="str">
        <f>B19</f>
        <v>公共配套设施</v>
      </c>
      <c r="R19" s="705" t="s">
        <v>14</v>
      </c>
      <c r="S19" s="706">
        <f>F19</f>
        <v>100</v>
      </c>
      <c r="T19" s="705" t="s">
        <v>14</v>
      </c>
      <c r="U19" s="706">
        <f>H19</f>
        <v>100</v>
      </c>
      <c r="V19" s="705" t="s">
        <v>14</v>
      </c>
      <c r="W19" s="706">
        <f>J19</f>
        <v>100</v>
      </c>
      <c r="X19" s="3449"/>
      <c r="Y19" s="3814"/>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12"/>
      <c r="Q20" s="3447"/>
      <c r="R20" s="705"/>
      <c r="S20" s="706"/>
      <c r="T20" s="705"/>
      <c r="U20" s="706"/>
      <c r="V20" s="705"/>
      <c r="W20" s="706"/>
      <c r="X20" s="3449"/>
      <c r="Y20" s="381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12"/>
      <c r="Q21" s="3447" t="str">
        <f>B21</f>
        <v>基础设施水平</v>
      </c>
      <c r="R21" s="705" t="s">
        <v>14</v>
      </c>
      <c r="S21" s="706">
        <f>F21</f>
        <v>100</v>
      </c>
      <c r="T21" s="705" t="s">
        <v>14</v>
      </c>
      <c r="U21" s="706">
        <f>H21</f>
        <v>100</v>
      </c>
      <c r="V21" s="705" t="s">
        <v>14</v>
      </c>
      <c r="W21" s="706">
        <f>J21</f>
        <v>100</v>
      </c>
      <c r="X21" s="3449"/>
      <c r="Y21" s="3814"/>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12"/>
      <c r="Q22" s="3447"/>
      <c r="R22" s="705"/>
      <c r="S22" s="706"/>
      <c r="T22" s="705"/>
      <c r="U22" s="706"/>
      <c r="V22" s="705"/>
      <c r="W22" s="706"/>
      <c r="X22" s="3449"/>
      <c r="Y22" s="381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12"/>
      <c r="Q23" s="3447" t="str">
        <f>B23</f>
        <v>自然及人文环境</v>
      </c>
      <c r="R23" s="705" t="s">
        <v>14</v>
      </c>
      <c r="S23" s="706">
        <f>F23</f>
        <v>100</v>
      </c>
      <c r="T23" s="705" t="s">
        <v>14</v>
      </c>
      <c r="U23" s="706">
        <f>H23</f>
        <v>100</v>
      </c>
      <c r="V23" s="705" t="s">
        <v>14</v>
      </c>
      <c r="W23" s="706">
        <f>J23</f>
        <v>100</v>
      </c>
      <c r="X23" s="3449"/>
      <c r="Y23" s="3814"/>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12"/>
      <c r="Q24" s="3447"/>
      <c r="R24" s="705"/>
      <c r="S24" s="706"/>
      <c r="T24" s="705"/>
      <c r="U24" s="706"/>
      <c r="V24" s="705"/>
      <c r="W24" s="706"/>
      <c r="X24" s="3449"/>
      <c r="Y24" s="381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1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3517</v>
      </c>
      <c r="F26" s="386">
        <f>SUMIF(88:88,E26,89:89)-SUMIF(88:88,C26,89:89)+100</f>
        <v>100</v>
      </c>
      <c r="G26" s="1907" t="s">
        <v>3517</v>
      </c>
      <c r="H26" s="386">
        <f>SUMIF(88:88,G26,89:89)-SUMIF(88:88,C26,89:89)+100</f>
        <v>100</v>
      </c>
      <c r="I26" s="1907" t="s">
        <v>3517</v>
      </c>
      <c r="J26" s="386">
        <f>SUMIF(88:88,I26,89:89)-SUMIF(88:88,C26,89:89)+100</f>
        <v>100</v>
      </c>
      <c r="K26" s="377">
        <v>0.5</v>
      </c>
      <c r="L26" s="2719"/>
      <c r="M26" s="2713"/>
      <c r="N26" s="2713"/>
      <c r="O26" s="2713"/>
      <c r="P26" s="3812"/>
      <c r="Q26" s="3447" t="str">
        <f t="shared" si="11"/>
        <v>朝向</v>
      </c>
      <c r="R26" s="705" t="s">
        <v>14</v>
      </c>
      <c r="S26" s="706">
        <f t="shared" si="12"/>
        <v>100</v>
      </c>
      <c r="T26" s="705" t="s">
        <v>14</v>
      </c>
      <c r="U26" s="706">
        <f t="shared" si="13"/>
        <v>100</v>
      </c>
      <c r="V26" s="705" t="s">
        <v>14</v>
      </c>
      <c r="W26" s="706">
        <f t="shared" si="14"/>
        <v>100</v>
      </c>
      <c r="X26" s="3449"/>
      <c r="Y26" s="3814"/>
      <c r="Z26" s="3450" t="str">
        <f>Q26</f>
        <v>朝向</v>
      </c>
      <c r="AA26" s="3448">
        <f t="shared" si="15"/>
        <v>1</v>
      </c>
      <c r="AB26" s="3448">
        <f t="shared" si="16"/>
        <v>1</v>
      </c>
      <c r="AC26" s="3448">
        <f t="shared" si="17"/>
        <v>1</v>
      </c>
    </row>
    <row r="27" spans="1:29" s="108" customFormat="1" ht="15.75" thickBot="1">
      <c r="A27" s="382"/>
      <c r="B27" s="3501" t="s">
        <v>3510</v>
      </c>
      <c r="C27" s="3513" t="s">
        <v>3522</v>
      </c>
      <c r="D27" s="413">
        <v>100</v>
      </c>
      <c r="E27" s="3514" t="s">
        <v>3524</v>
      </c>
      <c r="F27" s="413">
        <f>SUMIF(90:90,E27,91:91)-SUMIF(90:90,C27,91:91)+100</f>
        <v>96</v>
      </c>
      <c r="G27" s="3514" t="s">
        <v>3523</v>
      </c>
      <c r="H27" s="413">
        <f>SUMIF(90:90,G27,91:91)-SUMIF(90:90,C27,91:91)+100</f>
        <v>98</v>
      </c>
      <c r="I27" s="3514" t="s">
        <v>3523</v>
      </c>
      <c r="J27" s="413">
        <f>SUMIF(90:90,I27,91:91)-SUMIF(90:90,C27,91:91)+100</f>
        <v>98</v>
      </c>
      <c r="K27" s="1894"/>
      <c r="L27" s="2714"/>
      <c r="M27" s="2715"/>
      <c r="N27" s="2715"/>
      <c r="O27" s="2715"/>
      <c r="P27" s="3812"/>
      <c r="Q27" s="3446" t="str">
        <f t="shared" si="11"/>
        <v>楼层</v>
      </c>
      <c r="R27" s="701" t="s">
        <v>14</v>
      </c>
      <c r="S27" s="702">
        <f t="shared" si="12"/>
        <v>96</v>
      </c>
      <c r="T27" s="701" t="s">
        <v>14</v>
      </c>
      <c r="U27" s="702">
        <f t="shared" si="13"/>
        <v>98</v>
      </c>
      <c r="V27" s="701" t="s">
        <v>14</v>
      </c>
      <c r="W27" s="702">
        <f t="shared" si="14"/>
        <v>98</v>
      </c>
      <c r="X27" s="703"/>
      <c r="Y27" s="3814"/>
      <c r="Z27" s="3445" t="str">
        <f>Q27</f>
        <v>楼层</v>
      </c>
      <c r="AA27" s="3448">
        <f t="shared" si="15"/>
        <v>1.0416666666666667</v>
      </c>
      <c r="AB27" s="3448">
        <f t="shared" si="16"/>
        <v>1.0204081632653061</v>
      </c>
      <c r="AC27" s="3448">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2"/>
      <c r="Q28" s="3447">
        <f t="shared" si="11"/>
        <v>111</v>
      </c>
      <c r="R28" s="705" t="s">
        <v>14</v>
      </c>
      <c r="S28" s="706">
        <f t="shared" si="12"/>
        <v>100</v>
      </c>
      <c r="T28" s="705" t="s">
        <v>14</v>
      </c>
      <c r="U28" s="706">
        <f t="shared" si="13"/>
        <v>100</v>
      </c>
      <c r="V28" s="705" t="s">
        <v>14</v>
      </c>
      <c r="W28" s="706">
        <f t="shared" si="14"/>
        <v>100</v>
      </c>
      <c r="X28" s="3449"/>
      <c r="Y28" s="3814"/>
      <c r="Z28" s="3450">
        <f t="shared" ref="Z28:Z46" si="18">Q28</f>
        <v>111</v>
      </c>
      <c r="AA28" s="3448">
        <f t="shared" si="15"/>
        <v>1</v>
      </c>
      <c r="AB28" s="3448">
        <f t="shared" si="16"/>
        <v>1</v>
      </c>
      <c r="AC28" s="3448">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2"/>
      <c r="Q29" s="3447">
        <f t="shared" si="11"/>
        <v>111</v>
      </c>
      <c r="R29" s="705" t="s">
        <v>14</v>
      </c>
      <c r="S29" s="706">
        <f t="shared" si="12"/>
        <v>100</v>
      </c>
      <c r="T29" s="705" t="s">
        <v>14</v>
      </c>
      <c r="U29" s="706">
        <f t="shared" si="13"/>
        <v>100</v>
      </c>
      <c r="V29" s="705" t="s">
        <v>14</v>
      </c>
      <c r="W29" s="706">
        <f t="shared" si="14"/>
        <v>100</v>
      </c>
      <c r="X29" s="3449"/>
      <c r="Y29" s="3814"/>
      <c r="Z29" s="3450">
        <f t="shared" si="18"/>
        <v>111</v>
      </c>
      <c r="AA29" s="3448">
        <f t="shared" si="15"/>
        <v>1</v>
      </c>
      <c r="AB29" s="3448">
        <f t="shared" si="16"/>
        <v>1</v>
      </c>
      <c r="AC29" s="3448">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2"/>
      <c r="Q30" s="3447">
        <f t="shared" si="11"/>
        <v>111</v>
      </c>
      <c r="R30" s="705" t="s">
        <v>14</v>
      </c>
      <c r="S30" s="706">
        <f t="shared" si="12"/>
        <v>100</v>
      </c>
      <c r="T30" s="705" t="s">
        <v>14</v>
      </c>
      <c r="U30" s="706">
        <f t="shared" si="13"/>
        <v>100</v>
      </c>
      <c r="V30" s="705" t="s">
        <v>14</v>
      </c>
      <c r="W30" s="706">
        <f t="shared" si="14"/>
        <v>100</v>
      </c>
      <c r="X30" s="3449"/>
      <c r="Y30" s="381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2"/>
      <c r="Q31" s="3447">
        <f t="shared" si="11"/>
        <v>111</v>
      </c>
      <c r="R31" s="705" t="s">
        <v>14</v>
      </c>
      <c r="S31" s="706">
        <f t="shared" si="12"/>
        <v>100</v>
      </c>
      <c r="T31" s="705" t="s">
        <v>14</v>
      </c>
      <c r="U31" s="706">
        <f t="shared" si="13"/>
        <v>100</v>
      </c>
      <c r="V31" s="705" t="s">
        <v>14</v>
      </c>
      <c r="W31" s="706">
        <f t="shared" si="14"/>
        <v>100</v>
      </c>
      <c r="X31" s="3449"/>
      <c r="Y31" s="3814"/>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15" t="s">
        <v>1691</v>
      </c>
      <c r="Q32" s="3447" t="str">
        <f t="shared" si="11"/>
        <v>建筑类型</v>
      </c>
      <c r="R32" s="705" t="s">
        <v>14</v>
      </c>
      <c r="S32" s="706">
        <f t="shared" si="12"/>
        <v>100</v>
      </c>
      <c r="T32" s="705" t="s">
        <v>14</v>
      </c>
      <c r="U32" s="706">
        <f t="shared" si="13"/>
        <v>100</v>
      </c>
      <c r="V32" s="705" t="s">
        <v>14</v>
      </c>
      <c r="W32" s="706">
        <f t="shared" si="14"/>
        <v>100</v>
      </c>
      <c r="X32" s="3449"/>
      <c r="Y32" s="381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t="e">
        <f>#REF!</f>
        <v>#REF!</v>
      </c>
      <c r="F33" s="376" t="e">
        <f>LOOKUP(E33,103:103,104:104)-LOOKUP(C33,103:103,104:104)+100</f>
        <v>#REF!</v>
      </c>
      <c r="G33" s="380" t="e">
        <f>#REF!</f>
        <v>#REF!</v>
      </c>
      <c r="H33" s="127" t="e">
        <f>LOOKUP(G33,103:103,104:104)-LOOKUP(C33,103:103,104:104)+100</f>
        <v>#REF!</v>
      </c>
      <c r="I33" s="381" t="e">
        <f>#REF!</f>
        <v>#REF!</v>
      </c>
      <c r="J33" s="127" t="e">
        <f>LOOKUP(I33,103:103,104:104)-LOOKUP(C33,103:103,104:104)+100</f>
        <v>#REF!</v>
      </c>
      <c r="K33" s="1894"/>
      <c r="L33" s="2718"/>
      <c r="M33" s="2720"/>
      <c r="N33" s="2720"/>
      <c r="O33" s="2720"/>
      <c r="P33" s="3816"/>
      <c r="Q33" s="707" t="str">
        <f t="shared" si="11"/>
        <v>项目建筑规模</v>
      </c>
      <c r="R33" s="708" t="s">
        <v>14</v>
      </c>
      <c r="S33" s="709" t="e">
        <f t="shared" si="12"/>
        <v>#REF!</v>
      </c>
      <c r="T33" s="708" t="s">
        <v>14</v>
      </c>
      <c r="U33" s="709" t="e">
        <f t="shared" si="13"/>
        <v>#REF!</v>
      </c>
      <c r="V33" s="708" t="s">
        <v>14</v>
      </c>
      <c r="W33" s="709" t="e">
        <f t="shared" si="14"/>
        <v>#REF!</v>
      </c>
      <c r="X33" s="710"/>
      <c r="Y33" s="3818"/>
      <c r="Z33" s="711" t="str">
        <f t="shared" si="18"/>
        <v>项目建筑规模</v>
      </c>
      <c r="AA33" s="3448" t="e">
        <f t="shared" si="15"/>
        <v>#REF!</v>
      </c>
      <c r="AB33" s="3448" t="e">
        <f t="shared" si="16"/>
        <v>#REF!</v>
      </c>
      <c r="AC33" s="3448" t="e">
        <f t="shared" si="17"/>
        <v>#REF!</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16"/>
      <c r="Q34" s="3447" t="str">
        <f t="shared" si="11"/>
        <v>建筑结构</v>
      </c>
      <c r="R34" s="705" t="s">
        <v>14</v>
      </c>
      <c r="S34" s="706">
        <f t="shared" si="12"/>
        <v>100</v>
      </c>
      <c r="T34" s="705" t="s">
        <v>14</v>
      </c>
      <c r="U34" s="706">
        <f t="shared" si="13"/>
        <v>100</v>
      </c>
      <c r="V34" s="705" t="s">
        <v>14</v>
      </c>
      <c r="W34" s="706">
        <f t="shared" si="14"/>
        <v>100</v>
      </c>
      <c r="X34" s="3449"/>
      <c r="Y34" s="381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16"/>
      <c r="Q35" s="3447" t="str">
        <f t="shared" si="11"/>
        <v>建筑品质</v>
      </c>
      <c r="R35" s="705" t="s">
        <v>14</v>
      </c>
      <c r="S35" s="706">
        <f t="shared" si="12"/>
        <v>100</v>
      </c>
      <c r="T35" s="705" t="s">
        <v>14</v>
      </c>
      <c r="U35" s="706">
        <f t="shared" si="13"/>
        <v>100</v>
      </c>
      <c r="V35" s="705" t="s">
        <v>14</v>
      </c>
      <c r="W35" s="706">
        <f t="shared" si="14"/>
        <v>100</v>
      </c>
      <c r="X35" s="3449"/>
      <c r="Y35" s="3818"/>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16"/>
      <c r="Q36" s="3447" t="str">
        <f t="shared" si="11"/>
        <v>公共部分装修</v>
      </c>
      <c r="R36" s="705" t="s">
        <v>14</v>
      </c>
      <c r="S36" s="706">
        <f t="shared" si="12"/>
        <v>100</v>
      </c>
      <c r="T36" s="705" t="s">
        <v>14</v>
      </c>
      <c r="U36" s="706">
        <f t="shared" si="13"/>
        <v>100</v>
      </c>
      <c r="V36" s="705" t="s">
        <v>14</v>
      </c>
      <c r="W36" s="706">
        <f t="shared" si="14"/>
        <v>100</v>
      </c>
      <c r="X36" s="3449"/>
      <c r="Y36" s="381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16"/>
      <c r="Q37" s="3446" t="str">
        <f t="shared" si="11"/>
        <v>成新度</v>
      </c>
      <c r="R37" s="701" t="s">
        <v>14</v>
      </c>
      <c r="S37" s="702">
        <f t="shared" si="12"/>
        <v>100</v>
      </c>
      <c r="T37" s="701" t="s">
        <v>14</v>
      </c>
      <c r="U37" s="702">
        <f t="shared" si="13"/>
        <v>100</v>
      </c>
      <c r="V37" s="701" t="s">
        <v>14</v>
      </c>
      <c r="W37" s="702">
        <f t="shared" si="14"/>
        <v>100</v>
      </c>
      <c r="X37" s="703"/>
      <c r="Y37" s="3818"/>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16" t="s">
        <v>1691</v>
      </c>
      <c r="Q38" s="3447" t="str">
        <f t="shared" si="11"/>
        <v>物业管理</v>
      </c>
      <c r="R38" s="705" t="s">
        <v>14</v>
      </c>
      <c r="S38" s="706">
        <f t="shared" si="12"/>
        <v>100</v>
      </c>
      <c r="T38" s="705" t="s">
        <v>14</v>
      </c>
      <c r="U38" s="706">
        <f t="shared" si="13"/>
        <v>100</v>
      </c>
      <c r="V38" s="705" t="s">
        <v>14</v>
      </c>
      <c r="W38" s="706">
        <f t="shared" si="14"/>
        <v>100</v>
      </c>
      <c r="X38" s="3449"/>
      <c r="Y38" s="3818"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16"/>
      <c r="Q39" s="3447" t="str">
        <f t="shared" si="11"/>
        <v>市政基础设施</v>
      </c>
      <c r="R39" s="705" t="s">
        <v>14</v>
      </c>
      <c r="S39" s="706">
        <f t="shared" si="12"/>
        <v>100</v>
      </c>
      <c r="T39" s="705" t="s">
        <v>14</v>
      </c>
      <c r="U39" s="706">
        <f t="shared" si="13"/>
        <v>100</v>
      </c>
      <c r="V39" s="705" t="s">
        <v>14</v>
      </c>
      <c r="W39" s="706">
        <f t="shared" si="14"/>
        <v>100</v>
      </c>
      <c r="X39" s="3449"/>
      <c r="Y39" s="3818"/>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16"/>
      <c r="Q40" s="3447" t="str">
        <f t="shared" si="11"/>
        <v>房型</v>
      </c>
      <c r="R40" s="705" t="s">
        <v>14</v>
      </c>
      <c r="S40" s="706">
        <f t="shared" si="12"/>
        <v>100</v>
      </c>
      <c r="T40" s="705" t="s">
        <v>14</v>
      </c>
      <c r="U40" s="706">
        <f t="shared" si="13"/>
        <v>100</v>
      </c>
      <c r="V40" s="705" t="s">
        <v>14</v>
      </c>
      <c r="W40" s="706">
        <f t="shared" si="14"/>
        <v>100</v>
      </c>
      <c r="X40" s="3449"/>
      <c r="Y40" s="381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16"/>
      <c r="Q41" s="707" t="str">
        <f t="shared" si="11"/>
        <v>单套/主力户型建筑面积</v>
      </c>
      <c r="R41" s="708" t="s">
        <v>14</v>
      </c>
      <c r="S41" s="709">
        <f t="shared" si="12"/>
        <v>100</v>
      </c>
      <c r="T41" s="708" t="s">
        <v>14</v>
      </c>
      <c r="U41" s="709">
        <f t="shared" si="13"/>
        <v>100</v>
      </c>
      <c r="V41" s="708" t="s">
        <v>14</v>
      </c>
      <c r="W41" s="709">
        <f t="shared" si="14"/>
        <v>100</v>
      </c>
      <c r="X41" s="710"/>
      <c r="Y41" s="3818"/>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5</v>
      </c>
      <c r="L42" s="2719"/>
      <c r="M42" s="2713"/>
      <c r="N42" s="2713"/>
      <c r="O42" s="2713"/>
      <c r="P42" s="3816"/>
      <c r="Q42" s="3447" t="str">
        <f t="shared" si="11"/>
        <v>内部装修</v>
      </c>
      <c r="R42" s="705" t="s">
        <v>14</v>
      </c>
      <c r="S42" s="706">
        <f t="shared" si="12"/>
        <v>100</v>
      </c>
      <c r="T42" s="705" t="s">
        <v>14</v>
      </c>
      <c r="U42" s="706">
        <f t="shared" si="13"/>
        <v>100</v>
      </c>
      <c r="V42" s="705" t="s">
        <v>14</v>
      </c>
      <c r="W42" s="706">
        <f t="shared" si="14"/>
        <v>100</v>
      </c>
      <c r="X42" s="3449"/>
      <c r="Y42" s="3818"/>
      <c r="Z42" s="3450" t="str">
        <f t="shared" si="18"/>
        <v>内部装修</v>
      </c>
      <c r="AA42" s="3448">
        <f t="shared" si="15"/>
        <v>1</v>
      </c>
      <c r="AB42" s="3448">
        <f t="shared" si="16"/>
        <v>1</v>
      </c>
      <c r="AC42" s="3448">
        <f t="shared" si="17"/>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16"/>
      <c r="Q43" s="3447" t="str">
        <f t="shared" si="11"/>
        <v>内部装修维护情况</v>
      </c>
      <c r="R43" s="705" t="s">
        <v>14</v>
      </c>
      <c r="S43" s="706">
        <f t="shared" si="12"/>
        <v>100</v>
      </c>
      <c r="T43" s="705" t="s">
        <v>14</v>
      </c>
      <c r="U43" s="706">
        <f t="shared" si="13"/>
        <v>100</v>
      </c>
      <c r="V43" s="705" t="s">
        <v>14</v>
      </c>
      <c r="W43" s="706">
        <f t="shared" si="14"/>
        <v>100</v>
      </c>
      <c r="X43" s="3449"/>
      <c r="Y43" s="3818"/>
      <c r="Z43" s="3450" t="str">
        <f t="shared" si="18"/>
        <v>内部装修维护情况</v>
      </c>
      <c r="AA43" s="3448">
        <f t="shared" si="15"/>
        <v>1</v>
      </c>
      <c r="AB43" s="3448">
        <f t="shared" si="16"/>
        <v>1</v>
      </c>
      <c r="AC43" s="3448">
        <f t="shared" si="17"/>
        <v>1</v>
      </c>
    </row>
    <row r="44" spans="1:29" s="108" customFormat="1" ht="30" customHeight="1">
      <c r="A44" s="424"/>
      <c r="B44" s="3501" t="s">
        <v>3588</v>
      </c>
      <c r="C44" s="3537" t="s">
        <v>3580</v>
      </c>
      <c r="D44" s="127">
        <v>100</v>
      </c>
      <c r="E44" s="3537" t="s">
        <v>3581</v>
      </c>
      <c r="F44" s="376">
        <f>SUMIF(126:126,E44,127:127)-SUMIF(126:126,C44,127:127)+100</f>
        <v>90</v>
      </c>
      <c r="G44" s="3537" t="s">
        <v>3581</v>
      </c>
      <c r="H44" s="127">
        <f>SUMIF(126:126,G44,127:127)-SUMIF(126:126,C44,127:127)+100</f>
        <v>90</v>
      </c>
      <c r="I44" s="3537" t="s">
        <v>3581</v>
      </c>
      <c r="J44" s="127">
        <f>SUMIF(126:126,I44,127:127)-SUMIF(126:126,C44,127:127)+100</f>
        <v>90</v>
      </c>
      <c r="K44" s="1894"/>
      <c r="L44" s="2714"/>
      <c r="M44" s="2715"/>
      <c r="N44" s="2715"/>
      <c r="O44" s="2715"/>
      <c r="P44" s="3816"/>
      <c r="Q44" s="3446" t="str">
        <f t="shared" si="11"/>
        <v>室内设备设施</v>
      </c>
      <c r="R44" s="701" t="s">
        <v>14</v>
      </c>
      <c r="S44" s="702">
        <f t="shared" si="12"/>
        <v>90</v>
      </c>
      <c r="T44" s="701" t="s">
        <v>14</v>
      </c>
      <c r="U44" s="702">
        <f t="shared" si="13"/>
        <v>90</v>
      </c>
      <c r="V44" s="701" t="s">
        <v>14</v>
      </c>
      <c r="W44" s="702">
        <f t="shared" si="14"/>
        <v>90</v>
      </c>
      <c r="X44" s="703"/>
      <c r="Y44" s="3818"/>
      <c r="Z44" s="3445"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16"/>
      <c r="Q45" s="3447">
        <f t="shared" si="11"/>
        <v>111</v>
      </c>
      <c r="R45" s="705" t="s">
        <v>14</v>
      </c>
      <c r="S45" s="706">
        <f t="shared" si="12"/>
        <v>100</v>
      </c>
      <c r="T45" s="705" t="s">
        <v>14</v>
      </c>
      <c r="U45" s="706">
        <f t="shared" si="13"/>
        <v>100</v>
      </c>
      <c r="V45" s="705" t="s">
        <v>14</v>
      </c>
      <c r="W45" s="706">
        <f t="shared" si="14"/>
        <v>100</v>
      </c>
      <c r="X45" s="3449"/>
      <c r="Y45" s="3818"/>
      <c r="Z45" s="3450">
        <f t="shared" si="18"/>
        <v>111</v>
      </c>
      <c r="AA45" s="3448">
        <f t="shared" si="15"/>
        <v>1</v>
      </c>
      <c r="AB45" s="3448">
        <f t="shared" si="16"/>
        <v>1</v>
      </c>
      <c r="AC45" s="3448">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7"/>
      <c r="Q46" s="3447">
        <f t="shared" si="11"/>
        <v>111</v>
      </c>
      <c r="R46" s="705" t="s">
        <v>14</v>
      </c>
      <c r="S46" s="706">
        <f t="shared" si="12"/>
        <v>100</v>
      </c>
      <c r="T46" s="705" t="s">
        <v>14</v>
      </c>
      <c r="U46" s="706">
        <f t="shared" si="13"/>
        <v>100</v>
      </c>
      <c r="V46" s="705" t="s">
        <v>14</v>
      </c>
      <c r="W46" s="706">
        <f t="shared" si="14"/>
        <v>100</v>
      </c>
      <c r="X46" s="3449"/>
      <c r="Y46" s="3819"/>
      <c r="Z46" s="3450">
        <f t="shared" si="18"/>
        <v>111</v>
      </c>
      <c r="AA46" s="3448">
        <f t="shared" si="15"/>
        <v>1</v>
      </c>
      <c r="AB46" s="3448">
        <f t="shared" si="16"/>
        <v>1</v>
      </c>
      <c r="AC46" s="3448">
        <f t="shared" si="17"/>
        <v>1</v>
      </c>
    </row>
    <row r="47" spans="1:29" ht="15">
      <c r="A47" s="430" t="s">
        <v>1703</v>
      </c>
      <c r="B47" s="431"/>
      <c r="C47" s="1154" t="s">
        <v>0</v>
      </c>
      <c r="D47" s="1155"/>
      <c r="E47" s="1156" t="e">
        <f>#REF!</f>
        <v>#REF!</v>
      </c>
      <c r="F47" s="1157"/>
      <c r="G47" s="1158" t="e">
        <f>#REF!</f>
        <v>#REF!</v>
      </c>
      <c r="H47" s="1159"/>
      <c r="I47" s="1156" t="e">
        <f>#REF!</f>
        <v>#REF!</v>
      </c>
      <c r="J47" s="1159"/>
      <c r="K47" s="1912"/>
      <c r="L47" s="2721"/>
      <c r="M47" s="2722"/>
      <c r="N47" s="2713"/>
      <c r="O47" s="2722"/>
      <c r="P47" s="3806" t="str">
        <f>A47</f>
        <v>成交单价（元/平方米）</v>
      </c>
      <c r="Q47" s="3806"/>
      <c r="R47" s="3807" t="e">
        <f>E47</f>
        <v>#REF!</v>
      </c>
      <c r="S47" s="3807"/>
      <c r="T47" s="3807" t="e">
        <f>G47</f>
        <v>#REF!</v>
      </c>
      <c r="U47" s="3807"/>
      <c r="V47" s="3807" t="e">
        <f>I47</f>
        <v>#REF!</v>
      </c>
      <c r="W47" s="3807"/>
      <c r="X47" s="690"/>
      <c r="Y47" s="712"/>
      <c r="Z47" s="690"/>
      <c r="AA47" s="690"/>
      <c r="AB47" s="690"/>
      <c r="AC47" s="690"/>
    </row>
    <row r="48" spans="1:29" ht="15.75" thickBot="1">
      <c r="A48" s="437" t="s">
        <v>1704</v>
      </c>
      <c r="B48" s="438"/>
      <c r="C48" s="1160" t="e">
        <f>R49</f>
        <v>#REF!</v>
      </c>
      <c r="D48" s="2315" t="s">
        <v>2130</v>
      </c>
      <c r="E48" s="1161" t="e">
        <f>R48</f>
        <v>#REF!</v>
      </c>
      <c r="F48" s="2316"/>
      <c r="G48" s="1160" t="e">
        <f>T48</f>
        <v>#REF!</v>
      </c>
      <c r="H48" s="2316"/>
      <c r="I48" s="1161" t="e">
        <f>V48</f>
        <v>#REF!</v>
      </c>
      <c r="J48" s="2316"/>
      <c r="K48" s="2317">
        <f>F48+H48+J48</f>
        <v>0</v>
      </c>
      <c r="L48" s="2721"/>
      <c r="M48" s="2722"/>
      <c r="N48" s="2722"/>
      <c r="O48" s="2722"/>
      <c r="P48" s="3806" t="str">
        <f>A48</f>
        <v>比较价值（元/平方米）</v>
      </c>
      <c r="Q48" s="3806"/>
      <c r="R48" s="3807" t="e">
        <f>IF(F1="售价",ROUND(PRODUCT(R47,AA7:AA46),2),ROUND(PRODUCT(R47,AA7:AA46),2))</f>
        <v>#REF!</v>
      </c>
      <c r="S48" s="3807"/>
      <c r="T48" s="3807" t="e">
        <f>IF(F1="售价",ROUND(PRODUCT(T47,AB7:AB46),2),ROUND(PRODUCT(T47,AB7:AB46),2))</f>
        <v>#REF!</v>
      </c>
      <c r="U48" s="3807"/>
      <c r="V48" s="3807" t="e">
        <f>IF(F1="售价",ROUND(PRODUCT(V47,AC7:AC46),2),ROUND(PRODUCT(V47,AC7:AC46),1))</f>
        <v>#REF!</v>
      </c>
      <c r="W48" s="3807"/>
      <c r="X48" s="690"/>
      <c r="Y48" s="690"/>
      <c r="Z48" s="690"/>
      <c r="AA48" s="690"/>
      <c r="AB48" s="690"/>
      <c r="AC48" s="690"/>
    </row>
    <row r="49" spans="1:29" ht="15.75" thickBot="1">
      <c r="A49" s="3503" t="s">
        <v>3511</v>
      </c>
      <c r="B49" s="442"/>
      <c r="C49" s="1162" t="e">
        <f>R49</f>
        <v>#REF!</v>
      </c>
      <c r="D49" s="1163"/>
      <c r="E49" s="1163"/>
      <c r="F49" s="1163"/>
      <c r="G49" s="1163"/>
      <c r="H49" s="1163"/>
      <c r="I49" s="1163"/>
      <c r="J49" s="1163"/>
      <c r="K49" s="1913"/>
      <c r="L49" s="2721"/>
      <c r="M49" s="2722"/>
      <c r="N49" s="2722"/>
      <c r="O49" s="2722"/>
      <c r="P49" s="3808" t="str">
        <f>A49</f>
        <v>估价对象住宅用房的比较价值（月租金单价，元/平方米/月）</v>
      </c>
      <c r="Q49" s="3809"/>
      <c r="R49" s="3810" t="e">
        <f>IF(F1="售价",ROUND(IF(D48="简单平均",AVERAGE(R48:V48),R48*F48+T48*H48+V48*J48),2),ROUND(IF(D48="简单平均",AVERAGE(R48:V48),R48*F48+T48*H48+V48*J48),1))</f>
        <v>#REF!</v>
      </c>
      <c r="S49" s="3810"/>
      <c r="T49" s="3810"/>
      <c r="U49" s="3810"/>
      <c r="V49" s="3810"/>
      <c r="W49" s="381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7"/>
      <c r="L52" s="2723"/>
      <c r="M52" s="2722"/>
      <c r="N52" s="2722"/>
      <c r="O52" s="2722"/>
    </row>
    <row r="53" spans="1:29" ht="13.5" customHeight="1">
      <c r="A53" s="2722"/>
      <c r="B53" s="2722"/>
      <c r="C53" s="446" t="s">
        <v>1706</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7"/>
      <c r="L53" s="2723"/>
      <c r="M53" s="2722"/>
      <c r="N53" s="2722"/>
      <c r="O53" s="2722"/>
    </row>
    <row r="54" spans="1:29" s="451" customFormat="1" ht="13.5" customHeight="1">
      <c r="A54" s="2725"/>
      <c r="B54" s="2725"/>
      <c r="C54" s="446" t="s">
        <v>1707</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38" t="s">
        <v>3580</v>
      </c>
      <c r="D126" s="3538" t="s">
        <v>3581</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36" priority="18" stopIfTrue="1" operator="containsText" text="超过">
      <formula>NOT(ISERROR(SEARCH("超过",F52)))</formula>
    </cfRule>
  </conditionalFormatting>
  <conditionalFormatting sqref="J54">
    <cfRule type="containsText" dxfId="135" priority="17" stopIfTrue="1" operator="containsText" text="超过">
      <formula>NOT(ISERROR(SEARCH("超过",J54)))</formula>
    </cfRule>
  </conditionalFormatting>
  <conditionalFormatting sqref="H54">
    <cfRule type="containsText" dxfId="134" priority="16" stopIfTrue="1" operator="containsText" text="超过">
      <formula>NOT(ISERROR(SEARCH("超过",H54)))</formula>
    </cfRule>
  </conditionalFormatting>
  <conditionalFormatting sqref="F54">
    <cfRule type="containsText" dxfId="133" priority="15" stopIfTrue="1" operator="containsText" text="超过">
      <formula>NOT(ISERROR(SEARCH("超过",F54)))</formula>
    </cfRule>
  </conditionalFormatting>
  <conditionalFormatting sqref="F53 H53 J53">
    <cfRule type="containsText" dxfId="132" priority="14" stopIfTrue="1" operator="containsText" text="超过">
      <formula>NOT(ISERROR(SEARCH("超过",F53)))</formula>
    </cfRule>
  </conditionalFormatting>
  <conditionalFormatting sqref="E52">
    <cfRule type="expression" dxfId="131" priority="13"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估价对象为北京市房地产,属开发建设的，该项目尚在开发建设中。根据《国有土地使用证》[]，估价对象（分摊）出让国有建设用地使用权面积为0平方米，规划建筑面积为140平方米。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2023年3月6日（评估专业人员实地查勘之日）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03737-A79E-4D83-9426-91459D89F0EE}">
  <dimension ref="A1"/>
  <sheetViews>
    <sheetView topLeftCell="A7" workbookViewId="0">
      <selection activeCell="N2" sqref="N2"/>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140</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5" t="s">
        <v>1762</v>
      </c>
      <c r="D4" s="3826"/>
      <c r="E4" s="3827" t="s">
        <v>1763</v>
      </c>
      <c r="F4" s="3828"/>
      <c r="G4" s="3825" t="s">
        <v>1764</v>
      </c>
      <c r="H4" s="3826"/>
      <c r="I4" s="3825" t="s">
        <v>1765</v>
      </c>
      <c r="J4" s="3826"/>
      <c r="K4" s="559" t="s">
        <v>1766</v>
      </c>
      <c r="L4" s="2712"/>
      <c r="M4" s="2713"/>
      <c r="N4" s="2713"/>
      <c r="O4" s="2713"/>
      <c r="P4" s="3864" t="s">
        <v>1767</v>
      </c>
      <c r="Q4" s="3865"/>
      <c r="R4" s="3868" t="s">
        <v>1763</v>
      </c>
      <c r="S4" s="3869"/>
      <c r="T4" s="3868" t="s">
        <v>1764</v>
      </c>
      <c r="U4" s="3869"/>
      <c r="V4" s="3870" t="s">
        <v>1765</v>
      </c>
      <c r="W4" s="3870"/>
      <c r="X4" s="1956"/>
      <c r="Y4" s="3868" t="s">
        <v>1767</v>
      </c>
      <c r="Z4" s="3869"/>
      <c r="AA4" s="3872" t="s">
        <v>1763</v>
      </c>
      <c r="AB4" s="3872" t="s">
        <v>1764</v>
      </c>
      <c r="AC4" s="3861" t="s">
        <v>1765</v>
      </c>
    </row>
    <row r="5" spans="1:29" ht="15">
      <c r="A5" s="358"/>
      <c r="B5" s="359"/>
      <c r="C5" s="3843" t="s">
        <v>1668</v>
      </c>
      <c r="D5" s="3844"/>
      <c r="E5" s="3855" t="s">
        <v>1669</v>
      </c>
      <c r="F5" s="3854"/>
      <c r="G5" s="3843" t="s">
        <v>1670</v>
      </c>
      <c r="H5" s="3844"/>
      <c r="I5" s="3843" t="s">
        <v>1671</v>
      </c>
      <c r="J5" s="3844"/>
      <c r="K5" s="559"/>
      <c r="L5" s="2712"/>
      <c r="M5" s="2713"/>
      <c r="N5" s="2713"/>
      <c r="O5" s="2713"/>
      <c r="P5" s="3866"/>
      <c r="Q5" s="3832"/>
      <c r="R5" s="3837"/>
      <c r="S5" s="3838"/>
      <c r="T5" s="3837"/>
      <c r="U5" s="3838"/>
      <c r="V5" s="3820"/>
      <c r="W5" s="3820"/>
      <c r="X5" s="1355"/>
      <c r="Y5" s="3837"/>
      <c r="Z5" s="3838"/>
      <c r="AA5" s="3823"/>
      <c r="AB5" s="3823"/>
      <c r="AC5" s="3862"/>
    </row>
    <row r="6" spans="1:29" ht="15.75" thickBot="1">
      <c r="A6" s="360"/>
      <c r="B6" s="361"/>
      <c r="C6" s="3856" t="s">
        <v>1672</v>
      </c>
      <c r="D6" s="3842"/>
      <c r="E6" s="3857" t="s">
        <v>1672</v>
      </c>
      <c r="F6" s="3852"/>
      <c r="G6" s="3856" t="s">
        <v>1672</v>
      </c>
      <c r="H6" s="3842"/>
      <c r="I6" s="3856" t="s">
        <v>1672</v>
      </c>
      <c r="J6" s="3842"/>
      <c r="K6" s="559" t="s">
        <v>1673</v>
      </c>
      <c r="L6" s="2712"/>
      <c r="M6" s="2713"/>
      <c r="N6" s="2713"/>
      <c r="O6" s="2713"/>
      <c r="P6" s="3867"/>
      <c r="Q6" s="3834"/>
      <c r="R6" s="3837"/>
      <c r="S6" s="3838"/>
      <c r="T6" s="3839"/>
      <c r="U6" s="3840"/>
      <c r="V6" s="3820"/>
      <c r="W6" s="3820"/>
      <c r="X6" s="1355"/>
      <c r="Y6" s="3839"/>
      <c r="Z6" s="3840"/>
      <c r="AA6" s="3824"/>
      <c r="AB6" s="3824"/>
      <c r="AC6" s="3863"/>
    </row>
    <row r="7" spans="1:29" s="108" customFormat="1" ht="15.75" thickBot="1">
      <c r="A7" s="362" t="s">
        <v>1674</v>
      </c>
      <c r="B7" s="363"/>
      <c r="C7" s="364">
        <f>'数据-取费表'!B2</f>
        <v>44991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1" t="s">
        <v>1675</v>
      </c>
      <c r="Q7" s="3847"/>
      <c r="R7" s="701" t="s">
        <v>14</v>
      </c>
      <c r="S7" s="702">
        <f t="shared" ref="S7:S15" si="0">F7</f>
        <v>0</v>
      </c>
      <c r="T7" s="701" t="s">
        <v>14</v>
      </c>
      <c r="U7" s="702">
        <f t="shared" ref="U7:U15" si="1">H7</f>
        <v>0</v>
      </c>
      <c r="V7" s="701" t="s">
        <v>14</v>
      </c>
      <c r="W7" s="702">
        <f t="shared" ref="W7:W15" si="2">J7</f>
        <v>0</v>
      </c>
      <c r="X7" s="703"/>
      <c r="Y7" s="3845" t="s">
        <v>1675</v>
      </c>
      <c r="Z7" s="3846"/>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1" t="s">
        <v>1678</v>
      </c>
      <c r="Q8" s="3846"/>
      <c r="R8" s="701" t="s">
        <v>14</v>
      </c>
      <c r="S8" s="702">
        <f t="shared" si="0"/>
        <v>100</v>
      </c>
      <c r="T8" s="701" t="s">
        <v>14</v>
      </c>
      <c r="U8" s="702">
        <f t="shared" si="1"/>
        <v>100</v>
      </c>
      <c r="V8" s="701" t="s">
        <v>14</v>
      </c>
      <c r="W8" s="702">
        <f t="shared" si="2"/>
        <v>100</v>
      </c>
      <c r="X8" s="703"/>
      <c r="Y8" s="3845" t="s">
        <v>1678</v>
      </c>
      <c r="Z8" s="3846"/>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21" t="s">
        <v>1681</v>
      </c>
      <c r="Q9" s="1343" t="str">
        <f t="shared" ref="Q9:Q15" si="6">B9</f>
        <v>用途</v>
      </c>
      <c r="R9" s="701" t="s">
        <v>14</v>
      </c>
      <c r="S9" s="702">
        <f t="shared" si="0"/>
        <v>100</v>
      </c>
      <c r="T9" s="701" t="s">
        <v>14</v>
      </c>
      <c r="U9" s="702">
        <f t="shared" si="1"/>
        <v>100</v>
      </c>
      <c r="V9" s="701" t="s">
        <v>14</v>
      </c>
      <c r="W9" s="702">
        <f t="shared" si="2"/>
        <v>100</v>
      </c>
      <c r="X9" s="703"/>
      <c r="Y9" s="3667" t="s">
        <v>1682</v>
      </c>
      <c r="Z9" s="52" t="str">
        <f t="shared" ref="Z9:Z15" si="7">Q9</f>
        <v>用途</v>
      </c>
      <c r="AA9" s="704">
        <f t="shared" si="3"/>
        <v>1</v>
      </c>
      <c r="AB9" s="704">
        <f t="shared" si="4"/>
        <v>1</v>
      </c>
      <c r="AC9" s="1957">
        <f t="shared" si="5"/>
        <v>1</v>
      </c>
    </row>
    <row r="10" spans="1:29" s="378" customFormat="1" ht="27">
      <c r="A10" s="374"/>
      <c r="B10" s="375" t="s">
        <v>1683</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821"/>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21"/>
      <c r="Q11" s="1343" t="str">
        <f t="shared" si="6"/>
        <v>容积率</v>
      </c>
      <c r="R11" s="701" t="s">
        <v>14</v>
      </c>
      <c r="S11" s="702">
        <f t="shared" si="0"/>
        <v>100</v>
      </c>
      <c r="T11" s="701" t="s">
        <v>14</v>
      </c>
      <c r="U11" s="702">
        <f t="shared" si="1"/>
        <v>100</v>
      </c>
      <c r="V11" s="701" t="s">
        <v>14</v>
      </c>
      <c r="W11" s="702">
        <f t="shared" si="2"/>
        <v>100</v>
      </c>
      <c r="X11" s="703"/>
      <c r="Y11" s="3667"/>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21"/>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21"/>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21"/>
      <c r="Q14" s="1343">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11" t="s">
        <v>1686</v>
      </c>
      <c r="Q15" s="1352" t="str">
        <f t="shared" si="6"/>
        <v>办公集聚程度</v>
      </c>
      <c r="R15" s="705" t="s">
        <v>14</v>
      </c>
      <c r="S15" s="706">
        <f t="shared" si="0"/>
        <v>100</v>
      </c>
      <c r="T15" s="705" t="s">
        <v>14</v>
      </c>
      <c r="U15" s="706">
        <f t="shared" si="1"/>
        <v>100</v>
      </c>
      <c r="V15" s="705" t="s">
        <v>14</v>
      </c>
      <c r="W15" s="706">
        <f t="shared" si="2"/>
        <v>100</v>
      </c>
      <c r="X15" s="1355"/>
      <c r="Y15" s="3813"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12"/>
      <c r="Q16" s="1352"/>
      <c r="R16" s="705"/>
      <c r="S16" s="706"/>
      <c r="T16" s="705"/>
      <c r="U16" s="706"/>
      <c r="V16" s="705"/>
      <c r="W16" s="706"/>
      <c r="X16" s="1355"/>
      <c r="Y16" s="3814"/>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12"/>
      <c r="Q17" s="1352" t="str">
        <f>B17</f>
        <v>交通便捷度</v>
      </c>
      <c r="R17" s="705" t="s">
        <v>14</v>
      </c>
      <c r="S17" s="706">
        <f>F17</f>
        <v>100</v>
      </c>
      <c r="T17" s="705" t="s">
        <v>14</v>
      </c>
      <c r="U17" s="706">
        <f>H17</f>
        <v>100</v>
      </c>
      <c r="V17" s="705" t="s">
        <v>14</v>
      </c>
      <c r="W17" s="706">
        <f>J17</f>
        <v>100</v>
      </c>
      <c r="X17" s="1355"/>
      <c r="Y17" s="3814"/>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12"/>
      <c r="Q18" s="1352"/>
      <c r="R18" s="705"/>
      <c r="S18" s="706"/>
      <c r="T18" s="705"/>
      <c r="U18" s="706"/>
      <c r="V18" s="705"/>
      <c r="W18" s="706"/>
      <c r="X18" s="1355"/>
      <c r="Y18" s="3814"/>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12"/>
      <c r="Q19" s="1352" t="str">
        <f>B19</f>
        <v>公共配套设施</v>
      </c>
      <c r="R19" s="705" t="s">
        <v>14</v>
      </c>
      <c r="S19" s="706">
        <f>F19</f>
        <v>100</v>
      </c>
      <c r="T19" s="705" t="s">
        <v>14</v>
      </c>
      <c r="U19" s="706">
        <f>H19</f>
        <v>100</v>
      </c>
      <c r="V19" s="705" t="s">
        <v>14</v>
      </c>
      <c r="W19" s="706">
        <f>J19</f>
        <v>100</v>
      </c>
      <c r="X19" s="1355"/>
      <c r="Y19" s="3814"/>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12"/>
      <c r="Q20" s="1352"/>
      <c r="R20" s="705"/>
      <c r="S20" s="706"/>
      <c r="T20" s="705"/>
      <c r="U20" s="706"/>
      <c r="V20" s="705"/>
      <c r="W20" s="706"/>
      <c r="X20" s="1355"/>
      <c r="Y20" s="3814"/>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12"/>
      <c r="Q21" s="1352" t="str">
        <f>B21</f>
        <v>基础设施水平</v>
      </c>
      <c r="R21" s="705" t="s">
        <v>14</v>
      </c>
      <c r="S21" s="706">
        <f>F21</f>
        <v>100</v>
      </c>
      <c r="T21" s="705" t="s">
        <v>14</v>
      </c>
      <c r="U21" s="706">
        <f>H21</f>
        <v>100</v>
      </c>
      <c r="V21" s="705" t="s">
        <v>14</v>
      </c>
      <c r="W21" s="706">
        <f>J21</f>
        <v>100</v>
      </c>
      <c r="X21" s="1355"/>
      <c r="Y21" s="3814"/>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12"/>
      <c r="Q22" s="1352"/>
      <c r="R22" s="705"/>
      <c r="S22" s="706"/>
      <c r="T22" s="705"/>
      <c r="U22" s="706"/>
      <c r="V22" s="705"/>
      <c r="W22" s="706"/>
      <c r="X22" s="1355"/>
      <c r="Y22" s="3814"/>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12"/>
      <c r="Q23" s="1352" t="str">
        <f>B23</f>
        <v>环境质量</v>
      </c>
      <c r="R23" s="705" t="s">
        <v>14</v>
      </c>
      <c r="S23" s="706">
        <f>F23</f>
        <v>100</v>
      </c>
      <c r="T23" s="705" t="s">
        <v>14</v>
      </c>
      <c r="U23" s="706">
        <f>H23</f>
        <v>100</v>
      </c>
      <c r="V23" s="705" t="s">
        <v>14</v>
      </c>
      <c r="W23" s="706">
        <f>J23</f>
        <v>100</v>
      </c>
      <c r="X23" s="1355"/>
      <c r="Y23" s="3814"/>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12"/>
      <c r="Q24" s="1352"/>
      <c r="R24" s="705"/>
      <c r="S24" s="706"/>
      <c r="T24" s="705"/>
      <c r="U24" s="706"/>
      <c r="V24" s="705"/>
      <c r="W24" s="706"/>
      <c r="X24" s="1355"/>
      <c r="Y24" s="3814"/>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12"/>
      <c r="Q25" s="1352" t="str">
        <f>B25</f>
        <v>毗邻道路的类型与等级</v>
      </c>
      <c r="R25" s="705" t="s">
        <v>14</v>
      </c>
      <c r="S25" s="706">
        <f>F25</f>
        <v>100</v>
      </c>
      <c r="T25" s="705" t="s">
        <v>14</v>
      </c>
      <c r="U25" s="706">
        <f>H25</f>
        <v>100</v>
      </c>
      <c r="V25" s="705" t="s">
        <v>14</v>
      </c>
      <c r="W25" s="706">
        <f>J25</f>
        <v>100</v>
      </c>
      <c r="X25" s="1355"/>
      <c r="Y25" s="3814"/>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12"/>
      <c r="Q26" s="1352"/>
      <c r="R26" s="705"/>
      <c r="S26" s="706"/>
      <c r="T26" s="705"/>
      <c r="U26" s="706"/>
      <c r="V26" s="705"/>
      <c r="W26" s="706"/>
      <c r="X26" s="1355"/>
      <c r="Y26" s="3814"/>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12"/>
      <c r="Q27" s="1352" t="str">
        <f t="shared" ref="Q27:Q47" si="11">B27</f>
        <v>楼层</v>
      </c>
      <c r="R27" s="705" t="s">
        <v>14</v>
      </c>
      <c r="S27" s="706">
        <f>F27</f>
        <v>100</v>
      </c>
      <c r="T27" s="705" t="s">
        <v>14</v>
      </c>
      <c r="U27" s="706">
        <f>H27</f>
        <v>100</v>
      </c>
      <c r="V27" s="705" t="s">
        <v>14</v>
      </c>
      <c r="W27" s="706">
        <f>J27</f>
        <v>100</v>
      </c>
      <c r="X27" s="1355"/>
      <c r="Y27" s="3814"/>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12"/>
      <c r="Q28" s="1343" t="str">
        <f t="shared" si="11"/>
        <v>朝向</v>
      </c>
      <c r="R28" s="701" t="s">
        <v>14</v>
      </c>
      <c r="S28" s="702">
        <f>F28</f>
        <v>100</v>
      </c>
      <c r="T28" s="701" t="s">
        <v>14</v>
      </c>
      <c r="U28" s="702">
        <f>H28</f>
        <v>100</v>
      </c>
      <c r="V28" s="701" t="s">
        <v>14</v>
      </c>
      <c r="W28" s="702">
        <f>J28</f>
        <v>100</v>
      </c>
      <c r="X28" s="703"/>
      <c r="Y28" s="3814"/>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12"/>
      <c r="Q29" s="1352">
        <f t="shared" si="11"/>
        <v>111</v>
      </c>
      <c r="R29" s="705" t="s">
        <v>14</v>
      </c>
      <c r="S29" s="706">
        <f t="shared" ref="S29:S47" si="12">F29</f>
        <v>100</v>
      </c>
      <c r="T29" s="705" t="s">
        <v>14</v>
      </c>
      <c r="U29" s="706">
        <f t="shared" ref="U29:U47" si="13">H29</f>
        <v>100</v>
      </c>
      <c r="V29" s="705" t="s">
        <v>14</v>
      </c>
      <c r="W29" s="706">
        <f t="shared" ref="W29:W47" si="14">J29</f>
        <v>100</v>
      </c>
      <c r="X29" s="1355"/>
      <c r="Y29" s="3814"/>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12"/>
      <c r="Q30" s="1352">
        <f t="shared" si="11"/>
        <v>111</v>
      </c>
      <c r="R30" s="705" t="s">
        <v>14</v>
      </c>
      <c r="S30" s="706">
        <f t="shared" si="12"/>
        <v>100</v>
      </c>
      <c r="T30" s="705" t="s">
        <v>14</v>
      </c>
      <c r="U30" s="706">
        <f t="shared" si="13"/>
        <v>100</v>
      </c>
      <c r="V30" s="705" t="s">
        <v>14</v>
      </c>
      <c r="W30" s="706">
        <f t="shared" si="14"/>
        <v>100</v>
      </c>
      <c r="X30" s="1355"/>
      <c r="Y30" s="3814"/>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12"/>
      <c r="Q31" s="1352">
        <f t="shared" si="11"/>
        <v>111</v>
      </c>
      <c r="R31" s="705" t="s">
        <v>14</v>
      </c>
      <c r="S31" s="706">
        <f t="shared" si="12"/>
        <v>100</v>
      </c>
      <c r="T31" s="705" t="s">
        <v>14</v>
      </c>
      <c r="U31" s="706">
        <f t="shared" si="13"/>
        <v>100</v>
      </c>
      <c r="V31" s="705" t="s">
        <v>14</v>
      </c>
      <c r="W31" s="706">
        <f t="shared" si="14"/>
        <v>100</v>
      </c>
      <c r="X31" s="1355"/>
      <c r="Y31" s="3814"/>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12"/>
      <c r="Q32" s="1352">
        <f t="shared" si="11"/>
        <v>111</v>
      </c>
      <c r="R32" s="705" t="s">
        <v>14</v>
      </c>
      <c r="S32" s="706">
        <f t="shared" si="12"/>
        <v>100</v>
      </c>
      <c r="T32" s="705" t="s">
        <v>14</v>
      </c>
      <c r="U32" s="706">
        <f t="shared" si="13"/>
        <v>100</v>
      </c>
      <c r="V32" s="705" t="s">
        <v>14</v>
      </c>
      <c r="W32" s="706">
        <f t="shared" si="14"/>
        <v>100</v>
      </c>
      <c r="X32" s="1355"/>
      <c r="Y32" s="3814"/>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15" t="s">
        <v>1691</v>
      </c>
      <c r="Q33" s="1352" t="str">
        <f t="shared" si="11"/>
        <v>建筑类型</v>
      </c>
      <c r="R33" s="705" t="s">
        <v>14</v>
      </c>
      <c r="S33" s="706">
        <f t="shared" si="12"/>
        <v>100</v>
      </c>
      <c r="T33" s="705" t="s">
        <v>14</v>
      </c>
      <c r="U33" s="706">
        <f t="shared" si="13"/>
        <v>100</v>
      </c>
      <c r="V33" s="705" t="s">
        <v>14</v>
      </c>
      <c r="W33" s="706">
        <f t="shared" si="14"/>
        <v>100</v>
      </c>
      <c r="X33" s="1355"/>
      <c r="Y33" s="3818"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16"/>
      <c r="Q34" s="707" t="str">
        <f t="shared" si="11"/>
        <v>项目建筑规模</v>
      </c>
      <c r="R34" s="708" t="s">
        <v>14</v>
      </c>
      <c r="S34" s="709" t="e">
        <f t="shared" si="12"/>
        <v>#N/A</v>
      </c>
      <c r="T34" s="708" t="s">
        <v>14</v>
      </c>
      <c r="U34" s="709" t="e">
        <f t="shared" si="13"/>
        <v>#N/A</v>
      </c>
      <c r="V34" s="708" t="s">
        <v>14</v>
      </c>
      <c r="W34" s="709" t="e">
        <f t="shared" si="14"/>
        <v>#N/A</v>
      </c>
      <c r="X34" s="710"/>
      <c r="Y34" s="3818"/>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16"/>
      <c r="Q35" s="1352" t="str">
        <f t="shared" si="11"/>
        <v>建筑结构</v>
      </c>
      <c r="R35" s="705" t="s">
        <v>14</v>
      </c>
      <c r="S35" s="706">
        <f t="shared" si="12"/>
        <v>100</v>
      </c>
      <c r="T35" s="705" t="s">
        <v>14</v>
      </c>
      <c r="U35" s="706">
        <f t="shared" si="13"/>
        <v>100</v>
      </c>
      <c r="V35" s="705" t="s">
        <v>14</v>
      </c>
      <c r="W35" s="706">
        <f t="shared" si="14"/>
        <v>100</v>
      </c>
      <c r="X35" s="1355"/>
      <c r="Y35" s="3818"/>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16"/>
      <c r="Q36" s="1352" t="str">
        <f t="shared" si="11"/>
        <v>公共部分装修</v>
      </c>
      <c r="R36" s="705" t="s">
        <v>14</v>
      </c>
      <c r="S36" s="706">
        <f t="shared" si="12"/>
        <v>100</v>
      </c>
      <c r="T36" s="705" t="s">
        <v>14</v>
      </c>
      <c r="U36" s="706">
        <f t="shared" si="13"/>
        <v>100</v>
      </c>
      <c r="V36" s="705" t="s">
        <v>14</v>
      </c>
      <c r="W36" s="706">
        <f t="shared" si="14"/>
        <v>100</v>
      </c>
      <c r="X36" s="1355"/>
      <c r="Y36" s="3818"/>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16"/>
      <c r="Q37" s="1352" t="str">
        <f t="shared" si="11"/>
        <v>成新度</v>
      </c>
      <c r="R37" s="705" t="s">
        <v>14</v>
      </c>
      <c r="S37" s="706" t="e">
        <f t="shared" si="12"/>
        <v>#N/A</v>
      </c>
      <c r="T37" s="705" t="s">
        <v>14</v>
      </c>
      <c r="U37" s="706" t="e">
        <f t="shared" si="13"/>
        <v>#N/A</v>
      </c>
      <c r="V37" s="705" t="s">
        <v>14</v>
      </c>
      <c r="W37" s="706" t="e">
        <f t="shared" si="14"/>
        <v>#N/A</v>
      </c>
      <c r="X37" s="1355"/>
      <c r="Y37" s="3818"/>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16"/>
      <c r="Q38" s="1343" t="str">
        <f t="shared" si="11"/>
        <v>写字楼等级</v>
      </c>
      <c r="R38" s="701" t="s">
        <v>14</v>
      </c>
      <c r="S38" s="702">
        <f t="shared" si="12"/>
        <v>100</v>
      </c>
      <c r="T38" s="701" t="s">
        <v>14</v>
      </c>
      <c r="U38" s="702">
        <f t="shared" si="13"/>
        <v>100</v>
      </c>
      <c r="V38" s="701" t="s">
        <v>14</v>
      </c>
      <c r="W38" s="702">
        <f t="shared" si="14"/>
        <v>100</v>
      </c>
      <c r="X38" s="703"/>
      <c r="Y38" s="3818"/>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16" t="s">
        <v>1691</v>
      </c>
      <c r="Q39" s="1352" t="str">
        <f t="shared" si="11"/>
        <v>物业管理</v>
      </c>
      <c r="R39" s="705" t="s">
        <v>14</v>
      </c>
      <c r="S39" s="706">
        <f t="shared" si="12"/>
        <v>100</v>
      </c>
      <c r="T39" s="705" t="s">
        <v>14</v>
      </c>
      <c r="U39" s="706">
        <f t="shared" si="13"/>
        <v>100</v>
      </c>
      <c r="V39" s="705" t="s">
        <v>14</v>
      </c>
      <c r="W39" s="706">
        <f t="shared" si="14"/>
        <v>100</v>
      </c>
      <c r="X39" s="1355"/>
      <c r="Y39" s="3818"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16"/>
      <c r="Q40" s="1352" t="str">
        <f t="shared" si="11"/>
        <v>市政基础设施</v>
      </c>
      <c r="R40" s="705" t="s">
        <v>14</v>
      </c>
      <c r="S40" s="706">
        <f t="shared" si="12"/>
        <v>100</v>
      </c>
      <c r="T40" s="705" t="s">
        <v>14</v>
      </c>
      <c r="U40" s="706">
        <f t="shared" si="13"/>
        <v>100</v>
      </c>
      <c r="V40" s="705" t="s">
        <v>14</v>
      </c>
      <c r="W40" s="706">
        <f t="shared" si="14"/>
        <v>100</v>
      </c>
      <c r="X40" s="1355"/>
      <c r="Y40" s="3818"/>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16"/>
      <c r="Q41" s="1352" t="str">
        <f t="shared" si="11"/>
        <v>层高</v>
      </c>
      <c r="R41" s="705" t="s">
        <v>14</v>
      </c>
      <c r="S41" s="706">
        <f t="shared" si="12"/>
        <v>100</v>
      </c>
      <c r="T41" s="705" t="s">
        <v>14</v>
      </c>
      <c r="U41" s="706">
        <f t="shared" si="13"/>
        <v>100</v>
      </c>
      <c r="V41" s="705" t="s">
        <v>14</v>
      </c>
      <c r="W41" s="706">
        <f t="shared" si="14"/>
        <v>100</v>
      </c>
      <c r="X41" s="1355"/>
      <c r="Y41" s="3818"/>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16"/>
      <c r="Q42" s="707" t="str">
        <f t="shared" si="11"/>
        <v>单套建筑面积</v>
      </c>
      <c r="R42" s="708" t="s">
        <v>14</v>
      </c>
      <c r="S42" s="709">
        <f t="shared" si="12"/>
        <v>100</v>
      </c>
      <c r="T42" s="708" t="s">
        <v>14</v>
      </c>
      <c r="U42" s="709">
        <f t="shared" si="13"/>
        <v>100</v>
      </c>
      <c r="V42" s="708" t="s">
        <v>14</v>
      </c>
      <c r="W42" s="709">
        <f t="shared" si="14"/>
        <v>100</v>
      </c>
      <c r="X42" s="710"/>
      <c r="Y42" s="3818"/>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16"/>
      <c r="Q43" s="1352" t="str">
        <f t="shared" si="11"/>
        <v>内部装修</v>
      </c>
      <c r="R43" s="705" t="s">
        <v>14</v>
      </c>
      <c r="S43" s="706">
        <f t="shared" si="12"/>
        <v>100</v>
      </c>
      <c r="T43" s="705" t="s">
        <v>14</v>
      </c>
      <c r="U43" s="706">
        <f t="shared" si="13"/>
        <v>100</v>
      </c>
      <c r="V43" s="705" t="s">
        <v>14</v>
      </c>
      <c r="W43" s="706">
        <f t="shared" si="14"/>
        <v>100</v>
      </c>
      <c r="X43" s="1355"/>
      <c r="Y43" s="3818"/>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16"/>
      <c r="Q44" s="1352" t="str">
        <f t="shared" si="11"/>
        <v>内部装修维护情况</v>
      </c>
      <c r="R44" s="705" t="s">
        <v>14</v>
      </c>
      <c r="S44" s="706">
        <f t="shared" si="12"/>
        <v>100</v>
      </c>
      <c r="T44" s="705" t="s">
        <v>14</v>
      </c>
      <c r="U44" s="706">
        <f t="shared" si="13"/>
        <v>100</v>
      </c>
      <c r="V44" s="705" t="s">
        <v>14</v>
      </c>
      <c r="W44" s="706">
        <f t="shared" si="14"/>
        <v>100</v>
      </c>
      <c r="X44" s="1355"/>
      <c r="Y44" s="3818"/>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16"/>
      <c r="Q45" s="1343">
        <f t="shared" si="11"/>
        <v>111</v>
      </c>
      <c r="R45" s="701" t="s">
        <v>14</v>
      </c>
      <c r="S45" s="702">
        <f t="shared" si="12"/>
        <v>100</v>
      </c>
      <c r="T45" s="701" t="s">
        <v>14</v>
      </c>
      <c r="U45" s="702">
        <f t="shared" si="13"/>
        <v>100</v>
      </c>
      <c r="V45" s="701" t="s">
        <v>14</v>
      </c>
      <c r="W45" s="702">
        <f t="shared" si="14"/>
        <v>100</v>
      </c>
      <c r="X45" s="703"/>
      <c r="Y45" s="3818"/>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16"/>
      <c r="Q46" s="1352">
        <f t="shared" si="11"/>
        <v>111</v>
      </c>
      <c r="R46" s="705" t="s">
        <v>14</v>
      </c>
      <c r="S46" s="706">
        <f t="shared" si="12"/>
        <v>100</v>
      </c>
      <c r="T46" s="705" t="s">
        <v>14</v>
      </c>
      <c r="U46" s="706">
        <f t="shared" si="13"/>
        <v>100</v>
      </c>
      <c r="V46" s="705" t="s">
        <v>14</v>
      </c>
      <c r="W46" s="706">
        <f t="shared" si="14"/>
        <v>100</v>
      </c>
      <c r="X46" s="1355"/>
      <c r="Y46" s="3818"/>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17"/>
      <c r="Q47" s="1352">
        <f t="shared" si="11"/>
        <v>111</v>
      </c>
      <c r="R47" s="705" t="s">
        <v>14</v>
      </c>
      <c r="S47" s="706">
        <f t="shared" si="12"/>
        <v>100</v>
      </c>
      <c r="T47" s="705" t="s">
        <v>14</v>
      </c>
      <c r="U47" s="706">
        <f t="shared" si="13"/>
        <v>100</v>
      </c>
      <c r="V47" s="705" t="s">
        <v>14</v>
      </c>
      <c r="W47" s="706">
        <f t="shared" si="14"/>
        <v>100</v>
      </c>
      <c r="X47" s="1355"/>
      <c r="Y47" s="3819"/>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21" t="str">
        <f>A48</f>
        <v>成交单价（元/平方米）</v>
      </c>
      <c r="Q48" s="3806"/>
      <c r="R48" s="3807">
        <f>E48</f>
        <v>0</v>
      </c>
      <c r="S48" s="3807"/>
      <c r="T48" s="3807">
        <f>G48</f>
        <v>0</v>
      </c>
      <c r="U48" s="3807"/>
      <c r="V48" s="3807">
        <f>I48</f>
        <v>0</v>
      </c>
      <c r="W48" s="3807"/>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21" t="str">
        <f>A49</f>
        <v>比较价值（元/平方米）</v>
      </c>
      <c r="Q49" s="3806"/>
      <c r="R49" s="3807" t="e">
        <f>IF(F1="售价",ROUND(PRODUCT(R48,AA7:AA47),0),ROUND(PRODUCT(R48,AA7:AA47),1))</f>
        <v>#DIV/0!</v>
      </c>
      <c r="S49" s="3807"/>
      <c r="T49" s="3807" t="e">
        <f>IF(F1="售价",ROUND(PRODUCT(T48,AB7:AB47),0),ROUND(PRODUCT(T48,AB7:AB47),1))</f>
        <v>#DIV/0!</v>
      </c>
      <c r="U49" s="3807"/>
      <c r="V49" s="3807" t="e">
        <f>IF(F1="售价",ROUND(PRODUCT(V48,AC7:AC47),0),ROUND(PRODUCT(V48,AC7:AC47),1))</f>
        <v>#DIV/0!</v>
      </c>
      <c r="W49" s="3807"/>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58" t="str">
        <f>A50</f>
        <v>估价对象XX用房的比较价值（楼面单价，元/平方米）</v>
      </c>
      <c r="Q50" s="3859"/>
      <c r="R50" s="3860" t="e">
        <f>IF(F1="售价",ROUND(IF(D49="简单平均",AVERAGE(R49:V49),R49*F49+T49*H49+V49*J49),0),ROUND(IF(D49="简单平均",AVERAGE(R49:V49),R49*F49+T49*H49+V49*J49),1))</f>
        <v>#DIV/0!</v>
      </c>
      <c r="S50" s="3860"/>
      <c r="T50" s="3860"/>
      <c r="U50" s="3860"/>
      <c r="V50" s="3860"/>
      <c r="W50" s="386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140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5" t="s">
        <v>1762</v>
      </c>
      <c r="D4" s="3826"/>
      <c r="E4" s="3827" t="s">
        <v>1763</v>
      </c>
      <c r="F4" s="3828"/>
      <c r="G4" s="3825" t="s">
        <v>1764</v>
      </c>
      <c r="H4" s="3826"/>
      <c r="I4" s="3825" t="s">
        <v>1765</v>
      </c>
      <c r="J4" s="3826"/>
      <c r="K4" s="559" t="s">
        <v>1766</v>
      </c>
      <c r="L4" s="913"/>
      <c r="M4" s="914"/>
      <c r="N4" s="914"/>
      <c r="O4" s="914"/>
      <c r="P4" s="3829" t="s">
        <v>1767</v>
      </c>
      <c r="Q4" s="3830"/>
      <c r="R4" s="3835" t="s">
        <v>1763</v>
      </c>
      <c r="S4" s="3836"/>
      <c r="T4" s="3835" t="s">
        <v>1764</v>
      </c>
      <c r="U4" s="3836"/>
      <c r="V4" s="3820" t="s">
        <v>1765</v>
      </c>
      <c r="W4" s="3820"/>
      <c r="X4" s="1355"/>
      <c r="Y4" s="3835" t="s">
        <v>1767</v>
      </c>
      <c r="Z4" s="3836"/>
      <c r="AA4" s="3822" t="s">
        <v>1763</v>
      </c>
      <c r="AB4" s="3823" t="s">
        <v>1764</v>
      </c>
      <c r="AC4" s="3822" t="s">
        <v>1765</v>
      </c>
    </row>
    <row r="5" spans="1:29" ht="15">
      <c r="A5" s="358"/>
      <c r="B5" s="359"/>
      <c r="C5" s="3843" t="s">
        <v>1668</v>
      </c>
      <c r="D5" s="3844"/>
      <c r="E5" s="3855" t="s">
        <v>1669</v>
      </c>
      <c r="F5" s="3854"/>
      <c r="G5" s="3843" t="s">
        <v>1670</v>
      </c>
      <c r="H5" s="3844"/>
      <c r="I5" s="3843" t="s">
        <v>1671</v>
      </c>
      <c r="J5" s="3844"/>
      <c r="K5" s="559"/>
      <c r="L5" s="913"/>
      <c r="M5" s="914"/>
      <c r="N5" s="914"/>
      <c r="O5" s="914"/>
      <c r="P5" s="3831"/>
      <c r="Q5" s="3832"/>
      <c r="R5" s="3837"/>
      <c r="S5" s="3838"/>
      <c r="T5" s="3837"/>
      <c r="U5" s="3838"/>
      <c r="V5" s="3820"/>
      <c r="W5" s="3820"/>
      <c r="X5" s="1355"/>
      <c r="Y5" s="3837"/>
      <c r="Z5" s="3838"/>
      <c r="AA5" s="3823"/>
      <c r="AB5" s="3823"/>
      <c r="AC5" s="3823"/>
    </row>
    <row r="6" spans="1:29" ht="15.75" thickBot="1">
      <c r="A6" s="360"/>
      <c r="B6" s="361"/>
      <c r="C6" s="3856" t="s">
        <v>1672</v>
      </c>
      <c r="D6" s="3842"/>
      <c r="E6" s="3857" t="s">
        <v>1672</v>
      </c>
      <c r="F6" s="3852"/>
      <c r="G6" s="3856" t="s">
        <v>1672</v>
      </c>
      <c r="H6" s="3842"/>
      <c r="I6" s="3856" t="s">
        <v>1672</v>
      </c>
      <c r="J6" s="3842"/>
      <c r="K6" s="559" t="s">
        <v>1673</v>
      </c>
      <c r="L6" s="913"/>
      <c r="M6" s="914"/>
      <c r="N6" s="914"/>
      <c r="O6" s="914"/>
      <c r="P6" s="3833"/>
      <c r="Q6" s="3834"/>
      <c r="R6" s="3837"/>
      <c r="S6" s="3838"/>
      <c r="T6" s="3839"/>
      <c r="U6" s="3840"/>
      <c r="V6" s="3820"/>
      <c r="W6" s="3820"/>
      <c r="X6" s="1355"/>
      <c r="Y6" s="3839"/>
      <c r="Z6" s="3840"/>
      <c r="AA6" s="3824"/>
      <c r="AB6" s="3824"/>
      <c r="AC6" s="3824"/>
    </row>
    <row r="7" spans="1:29" s="108" customFormat="1" ht="15.75" thickBot="1">
      <c r="A7" s="362" t="s">
        <v>1674</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5"/>
      <c r="M7" s="916"/>
      <c r="N7" s="916"/>
      <c r="O7" s="916"/>
      <c r="P7" s="3845" t="s">
        <v>1675</v>
      </c>
      <c r="Q7" s="3847"/>
      <c r="R7" s="701" t="s">
        <v>14</v>
      </c>
      <c r="S7" s="702">
        <f t="shared" ref="S7:S15" si="0">F7</f>
        <v>0</v>
      </c>
      <c r="T7" s="701" t="s">
        <v>14</v>
      </c>
      <c r="U7" s="702">
        <f t="shared" ref="U7:U15" si="1">H7</f>
        <v>0</v>
      </c>
      <c r="V7" s="701" t="s">
        <v>14</v>
      </c>
      <c r="W7" s="702">
        <f t="shared" ref="W7:W15" si="2">J7</f>
        <v>0</v>
      </c>
      <c r="X7" s="703"/>
      <c r="Y7" s="3845" t="s">
        <v>1675</v>
      </c>
      <c r="Z7" s="3846"/>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5" t="s">
        <v>1678</v>
      </c>
      <c r="Q8" s="3846"/>
      <c r="R8" s="701" t="s">
        <v>14</v>
      </c>
      <c r="S8" s="702">
        <f t="shared" si="0"/>
        <v>100</v>
      </c>
      <c r="T8" s="701" t="s">
        <v>14</v>
      </c>
      <c r="U8" s="702">
        <f t="shared" si="1"/>
        <v>100</v>
      </c>
      <c r="V8" s="701" t="s">
        <v>14</v>
      </c>
      <c r="W8" s="702">
        <f t="shared" si="2"/>
        <v>100</v>
      </c>
      <c r="X8" s="703"/>
      <c r="Y8" s="3845" t="s">
        <v>1678</v>
      </c>
      <c r="Z8" s="3846"/>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6" t="s">
        <v>1681</v>
      </c>
      <c r="Q9" s="1343" t="str">
        <f t="shared" ref="Q9:Q15" si="6">B9</f>
        <v>用途</v>
      </c>
      <c r="R9" s="701" t="s">
        <v>14</v>
      </c>
      <c r="S9" s="702">
        <f t="shared" si="0"/>
        <v>100</v>
      </c>
      <c r="T9" s="701" t="s">
        <v>14</v>
      </c>
      <c r="U9" s="702">
        <f t="shared" si="1"/>
        <v>100</v>
      </c>
      <c r="V9" s="701" t="s">
        <v>14</v>
      </c>
      <c r="W9" s="702">
        <f t="shared" si="2"/>
        <v>100</v>
      </c>
      <c r="X9" s="703"/>
      <c r="Y9" s="3667"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806"/>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6"/>
      <c r="Q11" s="1343" t="str">
        <f t="shared" si="6"/>
        <v>容积率</v>
      </c>
      <c r="R11" s="701" t="s">
        <v>14</v>
      </c>
      <c r="S11" s="702">
        <f t="shared" si="0"/>
        <v>100</v>
      </c>
      <c r="T11" s="701" t="s">
        <v>14</v>
      </c>
      <c r="U11" s="702">
        <f t="shared" si="1"/>
        <v>100</v>
      </c>
      <c r="V11" s="701" t="s">
        <v>14</v>
      </c>
      <c r="W11" s="702">
        <f t="shared" si="2"/>
        <v>100</v>
      </c>
      <c r="X11" s="703"/>
      <c r="Y11" s="366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06"/>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06"/>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06"/>
      <c r="Q14" s="1343">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13" t="s">
        <v>1686</v>
      </c>
      <c r="Q15" s="1352" t="str">
        <f t="shared" si="6"/>
        <v>产业集聚程度</v>
      </c>
      <c r="R15" s="705" t="s">
        <v>14</v>
      </c>
      <c r="S15" s="706">
        <f t="shared" si="0"/>
        <v>100</v>
      </c>
      <c r="T15" s="705" t="s">
        <v>14</v>
      </c>
      <c r="U15" s="706">
        <f t="shared" si="1"/>
        <v>100</v>
      </c>
      <c r="V15" s="705" t="s">
        <v>14</v>
      </c>
      <c r="W15" s="706">
        <f t="shared" si="2"/>
        <v>100</v>
      </c>
      <c r="X15" s="1355"/>
      <c r="Y15" s="3813"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14"/>
      <c r="Q16" s="1352"/>
      <c r="R16" s="705"/>
      <c r="S16" s="706"/>
      <c r="T16" s="705"/>
      <c r="U16" s="706"/>
      <c r="V16" s="705"/>
      <c r="W16" s="706"/>
      <c r="X16" s="1355"/>
      <c r="Y16" s="3814"/>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14"/>
      <c r="Q17" s="1352" t="str">
        <f>B17</f>
        <v>交通便捷度</v>
      </c>
      <c r="R17" s="705" t="s">
        <v>14</v>
      </c>
      <c r="S17" s="706">
        <f>F17</f>
        <v>100</v>
      </c>
      <c r="T17" s="705" t="s">
        <v>14</v>
      </c>
      <c r="U17" s="706">
        <f>H17</f>
        <v>100</v>
      </c>
      <c r="V17" s="705" t="s">
        <v>14</v>
      </c>
      <c r="W17" s="706">
        <f>J17</f>
        <v>100</v>
      </c>
      <c r="X17" s="1355"/>
      <c r="Y17" s="38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14"/>
      <c r="Q18" s="1352"/>
      <c r="R18" s="705"/>
      <c r="S18" s="706"/>
      <c r="T18" s="705"/>
      <c r="U18" s="706"/>
      <c r="V18" s="705"/>
      <c r="W18" s="706"/>
      <c r="X18" s="1355"/>
      <c r="Y18" s="3814"/>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14"/>
      <c r="Q19" s="1352" t="str">
        <f>B19</f>
        <v>公共配套设施</v>
      </c>
      <c r="R19" s="705" t="s">
        <v>14</v>
      </c>
      <c r="S19" s="706">
        <f>F19</f>
        <v>100</v>
      </c>
      <c r="T19" s="705" t="s">
        <v>14</v>
      </c>
      <c r="U19" s="706">
        <f>H19</f>
        <v>100</v>
      </c>
      <c r="V19" s="705" t="s">
        <v>14</v>
      </c>
      <c r="W19" s="706">
        <f>J19</f>
        <v>100</v>
      </c>
      <c r="X19" s="1355"/>
      <c r="Y19" s="38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14"/>
      <c r="Q20" s="1352"/>
      <c r="R20" s="705"/>
      <c r="S20" s="706"/>
      <c r="T20" s="705"/>
      <c r="U20" s="706"/>
      <c r="V20" s="705"/>
      <c r="W20" s="706"/>
      <c r="X20" s="1355"/>
      <c r="Y20" s="3814"/>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14"/>
      <c r="Q21" s="1352" t="str">
        <f>B21</f>
        <v>基础设施水平</v>
      </c>
      <c r="R21" s="705" t="s">
        <v>14</v>
      </c>
      <c r="S21" s="706">
        <f>F21</f>
        <v>100</v>
      </c>
      <c r="T21" s="705" t="s">
        <v>14</v>
      </c>
      <c r="U21" s="706">
        <f>H21</f>
        <v>100</v>
      </c>
      <c r="V21" s="705" t="s">
        <v>14</v>
      </c>
      <c r="W21" s="706">
        <f>J21</f>
        <v>100</v>
      </c>
      <c r="X21" s="1355"/>
      <c r="Y21" s="38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14"/>
      <c r="Q22" s="1352"/>
      <c r="R22" s="705"/>
      <c r="S22" s="706"/>
      <c r="T22" s="705"/>
      <c r="U22" s="706"/>
      <c r="V22" s="705"/>
      <c r="W22" s="706"/>
      <c r="X22" s="1355"/>
      <c r="Y22" s="3814"/>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14"/>
      <c r="Q23" s="1352" t="str">
        <f>B23</f>
        <v>环境质量</v>
      </c>
      <c r="R23" s="705" t="s">
        <v>14</v>
      </c>
      <c r="S23" s="706">
        <f>F23</f>
        <v>100</v>
      </c>
      <c r="T23" s="705" t="s">
        <v>14</v>
      </c>
      <c r="U23" s="706">
        <f>H23</f>
        <v>100</v>
      </c>
      <c r="V23" s="705" t="s">
        <v>14</v>
      </c>
      <c r="W23" s="706">
        <f>J23</f>
        <v>100</v>
      </c>
      <c r="X23" s="1355"/>
      <c r="Y23" s="38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14"/>
      <c r="Q24" s="1352"/>
      <c r="R24" s="705"/>
      <c r="S24" s="706"/>
      <c r="T24" s="705"/>
      <c r="U24" s="706"/>
      <c r="V24" s="705"/>
      <c r="W24" s="706"/>
      <c r="X24" s="1355"/>
      <c r="Y24" s="38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14"/>
      <c r="Q25" s="1352">
        <f>B25</f>
        <v>111</v>
      </c>
      <c r="R25" s="705" t="s">
        <v>14</v>
      </c>
      <c r="S25" s="706">
        <f>F25</f>
        <v>100</v>
      </c>
      <c r="T25" s="705" t="s">
        <v>14</v>
      </c>
      <c r="U25" s="706">
        <f>H25</f>
        <v>100</v>
      </c>
      <c r="V25" s="705" t="s">
        <v>14</v>
      </c>
      <c r="W25" s="706">
        <f>J25</f>
        <v>100</v>
      </c>
      <c r="X25" s="1355"/>
      <c r="Y25" s="38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14"/>
      <c r="Q26" s="1352">
        <f t="shared" ref="Q26:Q40" si="11">B26</f>
        <v>111</v>
      </c>
      <c r="R26" s="705" t="s">
        <v>14</v>
      </c>
      <c r="S26" s="706">
        <f>F26</f>
        <v>100</v>
      </c>
      <c r="T26" s="705" t="s">
        <v>14</v>
      </c>
      <c r="U26" s="706">
        <f>H26</f>
        <v>100</v>
      </c>
      <c r="V26" s="705" t="s">
        <v>14</v>
      </c>
      <c r="W26" s="706">
        <f>J26</f>
        <v>100</v>
      </c>
      <c r="X26" s="1355"/>
      <c r="Y26" s="38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14"/>
      <c r="Q27" s="1343">
        <f t="shared" si="11"/>
        <v>111</v>
      </c>
      <c r="R27" s="701" t="s">
        <v>14</v>
      </c>
      <c r="S27" s="702">
        <f>F27</f>
        <v>100</v>
      </c>
      <c r="T27" s="701" t="s">
        <v>14</v>
      </c>
      <c r="U27" s="702">
        <f>H27</f>
        <v>100</v>
      </c>
      <c r="V27" s="701" t="s">
        <v>14</v>
      </c>
      <c r="W27" s="702">
        <f>J27</f>
        <v>100</v>
      </c>
      <c r="X27" s="703"/>
      <c r="Y27" s="38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14"/>
      <c r="Q28" s="1352">
        <f t="shared" si="11"/>
        <v>111</v>
      </c>
      <c r="R28" s="705" t="s">
        <v>14</v>
      </c>
      <c r="S28" s="706">
        <f t="shared" ref="S28:S40" si="12">F28</f>
        <v>100</v>
      </c>
      <c r="T28" s="705" t="s">
        <v>14</v>
      </c>
      <c r="U28" s="706">
        <f t="shared" ref="U28:U40" si="13">H28</f>
        <v>100</v>
      </c>
      <c r="V28" s="705" t="s">
        <v>14</v>
      </c>
      <c r="W28" s="706">
        <f t="shared" ref="W28:W40" si="14">J28</f>
        <v>100</v>
      </c>
      <c r="X28" s="1355"/>
      <c r="Y28" s="3814"/>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3" t="s">
        <v>1691</v>
      </c>
      <c r="Q29" s="1352" t="str">
        <f t="shared" si="11"/>
        <v>建筑类型</v>
      </c>
      <c r="R29" s="705" t="s">
        <v>14</v>
      </c>
      <c r="S29" s="706">
        <f t="shared" si="12"/>
        <v>100</v>
      </c>
      <c r="T29" s="705" t="s">
        <v>14</v>
      </c>
      <c r="U29" s="706">
        <f t="shared" si="13"/>
        <v>100</v>
      </c>
      <c r="V29" s="705" t="s">
        <v>14</v>
      </c>
      <c r="W29" s="706">
        <f t="shared" si="14"/>
        <v>100</v>
      </c>
      <c r="X29" s="1355"/>
      <c r="Y29" s="3818"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8"/>
      <c r="Q30" s="707" t="str">
        <f t="shared" si="11"/>
        <v>项目建筑规模</v>
      </c>
      <c r="R30" s="708" t="s">
        <v>14</v>
      </c>
      <c r="S30" s="709" t="e">
        <f t="shared" si="12"/>
        <v>#N/A</v>
      </c>
      <c r="T30" s="708" t="s">
        <v>14</v>
      </c>
      <c r="U30" s="709" t="e">
        <f t="shared" si="13"/>
        <v>#N/A</v>
      </c>
      <c r="V30" s="708" t="s">
        <v>14</v>
      </c>
      <c r="W30" s="709" t="e">
        <f t="shared" si="14"/>
        <v>#N/A</v>
      </c>
      <c r="X30" s="710"/>
      <c r="Y30" s="3818"/>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8"/>
      <c r="Q31" s="1352" t="str">
        <f t="shared" si="11"/>
        <v>建筑结构</v>
      </c>
      <c r="R31" s="705" t="s">
        <v>14</v>
      </c>
      <c r="S31" s="706">
        <f t="shared" si="12"/>
        <v>100</v>
      </c>
      <c r="T31" s="705" t="s">
        <v>14</v>
      </c>
      <c r="U31" s="706">
        <f t="shared" si="13"/>
        <v>100</v>
      </c>
      <c r="V31" s="705" t="s">
        <v>14</v>
      </c>
      <c r="W31" s="706">
        <f t="shared" si="14"/>
        <v>100</v>
      </c>
      <c r="X31" s="1355"/>
      <c r="Y31" s="3818"/>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8"/>
      <c r="Q32" s="1352" t="str">
        <f t="shared" si="11"/>
        <v>公共部分装修</v>
      </c>
      <c r="R32" s="705" t="s">
        <v>14</v>
      </c>
      <c r="S32" s="706">
        <f t="shared" si="12"/>
        <v>100</v>
      </c>
      <c r="T32" s="705" t="s">
        <v>14</v>
      </c>
      <c r="U32" s="706">
        <f t="shared" si="13"/>
        <v>100</v>
      </c>
      <c r="V32" s="705" t="s">
        <v>14</v>
      </c>
      <c r="W32" s="706">
        <f t="shared" si="14"/>
        <v>100</v>
      </c>
      <c r="X32" s="1355"/>
      <c r="Y32" s="3818"/>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8"/>
      <c r="Q33" s="1352" t="str">
        <f t="shared" si="11"/>
        <v>成新度</v>
      </c>
      <c r="R33" s="705" t="s">
        <v>14</v>
      </c>
      <c r="S33" s="706" t="e">
        <f t="shared" si="12"/>
        <v>#N/A</v>
      </c>
      <c r="T33" s="705" t="s">
        <v>14</v>
      </c>
      <c r="U33" s="706" t="e">
        <f t="shared" si="13"/>
        <v>#N/A</v>
      </c>
      <c r="V33" s="705" t="s">
        <v>14</v>
      </c>
      <c r="W33" s="706" t="e">
        <f t="shared" si="14"/>
        <v>#N/A</v>
      </c>
      <c r="X33" s="1355"/>
      <c r="Y33" s="3818"/>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8"/>
      <c r="Q34" s="1343" t="str">
        <f t="shared" si="11"/>
        <v>物业管理</v>
      </c>
      <c r="R34" s="701" t="s">
        <v>14</v>
      </c>
      <c r="S34" s="702">
        <f t="shared" si="12"/>
        <v>100</v>
      </c>
      <c r="T34" s="701" t="s">
        <v>14</v>
      </c>
      <c r="U34" s="702">
        <f t="shared" si="13"/>
        <v>100</v>
      </c>
      <c r="V34" s="701" t="s">
        <v>14</v>
      </c>
      <c r="W34" s="702">
        <f t="shared" si="14"/>
        <v>100</v>
      </c>
      <c r="X34" s="703"/>
      <c r="Y34" s="3818"/>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8" t="s">
        <v>1691</v>
      </c>
      <c r="Q35" s="1352" t="str">
        <f t="shared" si="11"/>
        <v>市政基础设施</v>
      </c>
      <c r="R35" s="705" t="s">
        <v>14</v>
      </c>
      <c r="S35" s="706">
        <f t="shared" si="12"/>
        <v>100</v>
      </c>
      <c r="T35" s="705" t="s">
        <v>14</v>
      </c>
      <c r="U35" s="706">
        <f t="shared" si="13"/>
        <v>100</v>
      </c>
      <c r="V35" s="705" t="s">
        <v>14</v>
      </c>
      <c r="W35" s="706">
        <f t="shared" si="14"/>
        <v>100</v>
      </c>
      <c r="X35" s="1355"/>
      <c r="Y35" s="3818"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8"/>
      <c r="Q36" s="1352" t="str">
        <f t="shared" si="11"/>
        <v>内部装修</v>
      </c>
      <c r="R36" s="705" t="s">
        <v>14</v>
      </c>
      <c r="S36" s="706">
        <f t="shared" si="12"/>
        <v>100</v>
      </c>
      <c r="T36" s="705" t="s">
        <v>14</v>
      </c>
      <c r="U36" s="706">
        <f t="shared" si="13"/>
        <v>100</v>
      </c>
      <c r="V36" s="705" t="s">
        <v>14</v>
      </c>
      <c r="W36" s="706">
        <f t="shared" si="14"/>
        <v>100</v>
      </c>
      <c r="X36" s="1355"/>
      <c r="Y36" s="3818"/>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8"/>
      <c r="Q37" s="1352" t="str">
        <f t="shared" si="11"/>
        <v>内部装修状况</v>
      </c>
      <c r="R37" s="705" t="s">
        <v>14</v>
      </c>
      <c r="S37" s="706">
        <f t="shared" si="12"/>
        <v>100</v>
      </c>
      <c r="T37" s="705" t="s">
        <v>14</v>
      </c>
      <c r="U37" s="706">
        <f t="shared" si="13"/>
        <v>100</v>
      </c>
      <c r="V37" s="705" t="s">
        <v>14</v>
      </c>
      <c r="W37" s="706">
        <f t="shared" si="14"/>
        <v>100</v>
      </c>
      <c r="X37" s="1355"/>
      <c r="Y37" s="38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8"/>
      <c r="Q38" s="707">
        <f t="shared" si="11"/>
        <v>111</v>
      </c>
      <c r="R38" s="708" t="s">
        <v>14</v>
      </c>
      <c r="S38" s="709">
        <f t="shared" si="12"/>
        <v>100</v>
      </c>
      <c r="T38" s="708" t="s">
        <v>14</v>
      </c>
      <c r="U38" s="709">
        <f t="shared" si="13"/>
        <v>100</v>
      </c>
      <c r="V38" s="708" t="s">
        <v>14</v>
      </c>
      <c r="W38" s="709">
        <f t="shared" si="14"/>
        <v>100</v>
      </c>
      <c r="X38" s="710"/>
      <c r="Y38" s="38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8"/>
      <c r="Q39" s="1352">
        <f t="shared" si="11"/>
        <v>111</v>
      </c>
      <c r="R39" s="705" t="s">
        <v>14</v>
      </c>
      <c r="S39" s="706">
        <f t="shared" si="12"/>
        <v>100</v>
      </c>
      <c r="T39" s="705" t="s">
        <v>14</v>
      </c>
      <c r="U39" s="706">
        <f t="shared" si="13"/>
        <v>100</v>
      </c>
      <c r="V39" s="705" t="s">
        <v>14</v>
      </c>
      <c r="W39" s="706">
        <f t="shared" si="14"/>
        <v>100</v>
      </c>
      <c r="X39" s="1355"/>
      <c r="Y39" s="38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9"/>
      <c r="Q40" s="1352">
        <f t="shared" si="11"/>
        <v>111</v>
      </c>
      <c r="R40" s="705" t="s">
        <v>14</v>
      </c>
      <c r="S40" s="706">
        <f t="shared" si="12"/>
        <v>100</v>
      </c>
      <c r="T40" s="705" t="s">
        <v>14</v>
      </c>
      <c r="U40" s="706">
        <f t="shared" si="13"/>
        <v>100</v>
      </c>
      <c r="V40" s="705" t="s">
        <v>14</v>
      </c>
      <c r="W40" s="706">
        <f t="shared" si="14"/>
        <v>100</v>
      </c>
      <c r="X40" s="1355"/>
      <c r="Y40" s="3819"/>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06" t="str">
        <f>A41</f>
        <v>成交单价（元/平方米）</v>
      </c>
      <c r="Q41" s="3806"/>
      <c r="R41" s="3807">
        <f>E41</f>
        <v>0</v>
      </c>
      <c r="S41" s="3807"/>
      <c r="T41" s="3807">
        <f>G41</f>
        <v>0</v>
      </c>
      <c r="U41" s="3807"/>
      <c r="V41" s="3807">
        <f>I41</f>
        <v>0</v>
      </c>
      <c r="W41" s="3807"/>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06" t="str">
        <f>A42</f>
        <v>比较价值（元/平方米）</v>
      </c>
      <c r="Q42" s="3806"/>
      <c r="R42" s="3807" t="e">
        <f>IF(F1="售价",ROUND(PRODUCT(R41,AA7:AA40),0),ROUND(PRODUCT(R41,AA7:AA40),1))</f>
        <v>#DIV/0!</v>
      </c>
      <c r="S42" s="3807"/>
      <c r="T42" s="3807" t="e">
        <f>IF(F1="售价",ROUND(PRODUCT(T41,AB7:AB40),0),ROUND(PRODUCT(T41,AB7:AB40),1))</f>
        <v>#DIV/0!</v>
      </c>
      <c r="U42" s="3807"/>
      <c r="V42" s="3807" t="e">
        <f>IF(F1="售价",ROUND(PRODUCT(V41,AC7:AC40),0),ROUND(PRODUCT(V41,AC7:AC40),1))</f>
        <v>#DIV/0!</v>
      </c>
      <c r="W42" s="3807"/>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08" t="str">
        <f>A43</f>
        <v>估价对象XX用房的比较价值（楼面单价，元/平方米）</v>
      </c>
      <c r="Q43" s="3809"/>
      <c r="R43" s="3810" t="e">
        <f>IF(F1="售价",ROUND(IF(D42="简单平均",AVERAGE(R42:V42),R42*F42+T42*H42+V42*J42),0),ROUND(IF(D42="简单平均",AVERAGE(R42:V42),R42*F42+T42*H42+V42*J42),1))</f>
        <v>#DIV/0!</v>
      </c>
      <c r="S43" s="3810"/>
      <c r="T43" s="3810"/>
      <c r="U43" s="3810"/>
      <c r="V43" s="3810"/>
      <c r="W43" s="3810"/>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8"/>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5" t="s">
        <v>1762</v>
      </c>
      <c r="D4" s="3826"/>
      <c r="E4" s="3827" t="s">
        <v>1763</v>
      </c>
      <c r="F4" s="3828"/>
      <c r="G4" s="3825" t="s">
        <v>1764</v>
      </c>
      <c r="H4" s="3826"/>
      <c r="I4" s="3825" t="s">
        <v>1765</v>
      </c>
      <c r="J4" s="3826"/>
      <c r="K4" s="559" t="s">
        <v>1766</v>
      </c>
      <c r="L4" s="2712"/>
      <c r="M4" s="2713"/>
      <c r="N4" s="2713"/>
      <c r="O4" s="2713"/>
      <c r="P4" s="3829" t="s">
        <v>1767</v>
      </c>
      <c r="Q4" s="3830"/>
      <c r="R4" s="3835" t="s">
        <v>1763</v>
      </c>
      <c r="S4" s="3836"/>
      <c r="T4" s="3835" t="s">
        <v>1764</v>
      </c>
      <c r="U4" s="3836"/>
      <c r="V4" s="3820" t="s">
        <v>1765</v>
      </c>
      <c r="W4" s="3820"/>
      <c r="X4" s="1355"/>
      <c r="Y4" s="3835" t="s">
        <v>1767</v>
      </c>
      <c r="Z4" s="3836"/>
      <c r="AA4" s="3822" t="s">
        <v>1763</v>
      </c>
      <c r="AB4" s="3823" t="s">
        <v>1764</v>
      </c>
      <c r="AC4" s="3822" t="s">
        <v>1765</v>
      </c>
    </row>
    <row r="5" spans="1:29" ht="15">
      <c r="A5" s="358"/>
      <c r="B5" s="359"/>
      <c r="C5" s="3843" t="s">
        <v>1668</v>
      </c>
      <c r="D5" s="3844"/>
      <c r="E5" s="3855" t="s">
        <v>1669</v>
      </c>
      <c r="F5" s="3854"/>
      <c r="G5" s="3843" t="s">
        <v>1670</v>
      </c>
      <c r="H5" s="3844"/>
      <c r="I5" s="3843" t="s">
        <v>1671</v>
      </c>
      <c r="J5" s="3844"/>
      <c r="K5" s="559"/>
      <c r="L5" s="2712"/>
      <c r="M5" s="2713"/>
      <c r="N5" s="2713"/>
      <c r="O5" s="2713"/>
      <c r="P5" s="3831"/>
      <c r="Q5" s="3832"/>
      <c r="R5" s="3837"/>
      <c r="S5" s="3838"/>
      <c r="T5" s="3837"/>
      <c r="U5" s="3838"/>
      <c r="V5" s="3820"/>
      <c r="W5" s="3820"/>
      <c r="X5" s="1355"/>
      <c r="Y5" s="3837"/>
      <c r="Z5" s="3838"/>
      <c r="AA5" s="3823"/>
      <c r="AB5" s="3823"/>
      <c r="AC5" s="3823"/>
    </row>
    <row r="6" spans="1:29" ht="15.75" thickBot="1">
      <c r="A6" s="360"/>
      <c r="B6" s="361"/>
      <c r="C6" s="3856" t="s">
        <v>1672</v>
      </c>
      <c r="D6" s="3842"/>
      <c r="E6" s="3857" t="s">
        <v>1672</v>
      </c>
      <c r="F6" s="3852"/>
      <c r="G6" s="3856" t="s">
        <v>1672</v>
      </c>
      <c r="H6" s="3842"/>
      <c r="I6" s="3856" t="s">
        <v>1672</v>
      </c>
      <c r="J6" s="3842"/>
      <c r="K6" s="559" t="s">
        <v>1673</v>
      </c>
      <c r="L6" s="2712"/>
      <c r="M6" s="2713"/>
      <c r="N6" s="2713"/>
      <c r="O6" s="2713"/>
      <c r="P6" s="3833"/>
      <c r="Q6" s="3834"/>
      <c r="R6" s="3837"/>
      <c r="S6" s="3838"/>
      <c r="T6" s="3839"/>
      <c r="U6" s="3840"/>
      <c r="V6" s="3820"/>
      <c r="W6" s="3820"/>
      <c r="X6" s="1355"/>
      <c r="Y6" s="3839"/>
      <c r="Z6" s="3840"/>
      <c r="AA6" s="3824"/>
      <c r="AB6" s="3824"/>
      <c r="AC6" s="3824"/>
    </row>
    <row r="7" spans="1:29" s="108" customFormat="1" ht="15.75" thickBot="1">
      <c r="A7" s="362" t="s">
        <v>1674</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5" t="s">
        <v>1675</v>
      </c>
      <c r="Q7" s="3847"/>
      <c r="R7" s="701" t="s">
        <v>14</v>
      </c>
      <c r="S7" s="702">
        <f t="shared" ref="S7:S14" si="0">F7</f>
        <v>0</v>
      </c>
      <c r="T7" s="701" t="s">
        <v>14</v>
      </c>
      <c r="U7" s="702">
        <f t="shared" ref="U7:U14" si="1">H7</f>
        <v>0</v>
      </c>
      <c r="V7" s="701" t="s">
        <v>14</v>
      </c>
      <c r="W7" s="702">
        <f t="shared" ref="W7:W14" si="2">J7</f>
        <v>0</v>
      </c>
      <c r="X7" s="703"/>
      <c r="Y7" s="3845" t="s">
        <v>1675</v>
      </c>
      <c r="Z7" s="3846"/>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06" t="s">
        <v>1681</v>
      </c>
      <c r="Q9" s="1343" t="str">
        <f t="shared" ref="Q9:Q14" si="6">B9</f>
        <v>用途</v>
      </c>
      <c r="R9" s="701" t="s">
        <v>14</v>
      </c>
      <c r="S9" s="702">
        <f t="shared" si="0"/>
        <v>100</v>
      </c>
      <c r="T9" s="701" t="s">
        <v>14</v>
      </c>
      <c r="U9" s="702">
        <f t="shared" si="1"/>
        <v>100</v>
      </c>
      <c r="V9" s="701" t="s">
        <v>14</v>
      </c>
      <c r="W9" s="702">
        <f t="shared" si="2"/>
        <v>100</v>
      </c>
      <c r="X9" s="703"/>
      <c r="Y9" s="3667" t="s">
        <v>1682</v>
      </c>
      <c r="Z9" s="52" t="str">
        <f t="shared" ref="Z9:Z14" si="7">Q9</f>
        <v>用途</v>
      </c>
      <c r="AA9" s="704">
        <f t="shared" si="3"/>
        <v>1</v>
      </c>
      <c r="AB9" s="704">
        <f t="shared" si="4"/>
        <v>1</v>
      </c>
      <c r="AC9" s="704">
        <f t="shared" si="5"/>
        <v>1</v>
      </c>
    </row>
    <row r="10" spans="1:29" s="378" customFormat="1" ht="27">
      <c r="A10" s="589"/>
      <c r="B10" s="590" t="s">
        <v>1683</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806"/>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06"/>
      <c r="Q11" s="1343">
        <f t="shared" si="6"/>
        <v>111</v>
      </c>
      <c r="R11" s="701" t="s">
        <v>14</v>
      </c>
      <c r="S11" s="702">
        <f t="shared" si="0"/>
        <v>100</v>
      </c>
      <c r="T11" s="701" t="s">
        <v>14</v>
      </c>
      <c r="U11" s="702">
        <f t="shared" si="1"/>
        <v>100</v>
      </c>
      <c r="V11" s="701" t="s">
        <v>14</v>
      </c>
      <c r="W11" s="702">
        <f t="shared" si="2"/>
        <v>100</v>
      </c>
      <c r="X11" s="703"/>
      <c r="Y11" s="366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06"/>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06"/>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13" t="s">
        <v>1686</v>
      </c>
      <c r="Q14" s="1352" t="str">
        <f t="shared" si="6"/>
        <v>交通便捷度</v>
      </c>
      <c r="R14" s="705" t="s">
        <v>14</v>
      </c>
      <c r="S14" s="706">
        <f t="shared" si="0"/>
        <v>100</v>
      </c>
      <c r="T14" s="705" t="s">
        <v>14</v>
      </c>
      <c r="U14" s="706">
        <f t="shared" si="1"/>
        <v>100</v>
      </c>
      <c r="V14" s="705" t="s">
        <v>14</v>
      </c>
      <c r="W14" s="706">
        <f t="shared" si="2"/>
        <v>100</v>
      </c>
      <c r="X14" s="1355"/>
      <c r="Y14" s="3813"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14"/>
      <c r="Q15" s="1352"/>
      <c r="R15" s="705"/>
      <c r="S15" s="706"/>
      <c r="T15" s="705"/>
      <c r="U15" s="706"/>
      <c r="V15" s="705"/>
      <c r="W15" s="706"/>
      <c r="X15" s="1355"/>
      <c r="Y15" s="3814"/>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14"/>
      <c r="Q16" s="1352" t="str">
        <f>B16</f>
        <v>公共配套设施</v>
      </c>
      <c r="R16" s="705" t="s">
        <v>14</v>
      </c>
      <c r="S16" s="706">
        <f>F16</f>
        <v>100</v>
      </c>
      <c r="T16" s="705" t="s">
        <v>14</v>
      </c>
      <c r="U16" s="706">
        <f>H16</f>
        <v>100</v>
      </c>
      <c r="V16" s="705" t="s">
        <v>14</v>
      </c>
      <c r="W16" s="706">
        <f>J16</f>
        <v>100</v>
      </c>
      <c r="X16" s="1355"/>
      <c r="Y16" s="38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14"/>
      <c r="Q17" s="1352"/>
      <c r="R17" s="705"/>
      <c r="S17" s="706"/>
      <c r="T17" s="705"/>
      <c r="U17" s="706"/>
      <c r="V17" s="705"/>
      <c r="W17" s="706"/>
      <c r="X17" s="1355"/>
      <c r="Y17" s="3814"/>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14"/>
      <c r="Q18" s="1352" t="str">
        <f>B18</f>
        <v>基础设施水平</v>
      </c>
      <c r="R18" s="705" t="s">
        <v>14</v>
      </c>
      <c r="S18" s="706">
        <f>F18</f>
        <v>100</v>
      </c>
      <c r="T18" s="705" t="s">
        <v>14</v>
      </c>
      <c r="U18" s="706">
        <f>H18</f>
        <v>100</v>
      </c>
      <c r="V18" s="705" t="s">
        <v>14</v>
      </c>
      <c r="W18" s="706">
        <f>J18</f>
        <v>100</v>
      </c>
      <c r="X18" s="1355"/>
      <c r="Y18" s="38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14"/>
      <c r="Q19" s="1352"/>
      <c r="R19" s="705"/>
      <c r="S19" s="706"/>
      <c r="T19" s="705"/>
      <c r="U19" s="706"/>
      <c r="V19" s="705"/>
      <c r="W19" s="706"/>
      <c r="X19" s="1355"/>
      <c r="Y19" s="3814"/>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14"/>
      <c r="Q20" s="1352" t="str">
        <f>B20</f>
        <v>自然及人文环境</v>
      </c>
      <c r="R20" s="705" t="s">
        <v>14</v>
      </c>
      <c r="S20" s="706">
        <f>F20</f>
        <v>100</v>
      </c>
      <c r="T20" s="705" t="s">
        <v>14</v>
      </c>
      <c r="U20" s="706">
        <f>H20</f>
        <v>100</v>
      </c>
      <c r="V20" s="705" t="s">
        <v>14</v>
      </c>
      <c r="W20" s="706">
        <f>J20</f>
        <v>100</v>
      </c>
      <c r="X20" s="1355"/>
      <c r="Y20" s="38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14"/>
      <c r="Q21" s="1352"/>
      <c r="R21" s="705"/>
      <c r="S21" s="706"/>
      <c r="T21" s="705"/>
      <c r="U21" s="706"/>
      <c r="V21" s="705"/>
      <c r="W21" s="706"/>
      <c r="X21" s="1355"/>
      <c r="Y21" s="3814"/>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14"/>
      <c r="Q22" s="1352" t="str">
        <f>B22</f>
        <v>楼层</v>
      </c>
      <c r="R22" s="705" t="s">
        <v>14</v>
      </c>
      <c r="S22" s="706">
        <f>F22</f>
        <v>100</v>
      </c>
      <c r="T22" s="705" t="s">
        <v>14</v>
      </c>
      <c r="U22" s="706">
        <f>H22</f>
        <v>100</v>
      </c>
      <c r="V22" s="705" t="s">
        <v>14</v>
      </c>
      <c r="W22" s="706">
        <f>J22</f>
        <v>100</v>
      </c>
      <c r="X22" s="1355"/>
      <c r="Y22" s="38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14"/>
      <c r="Q23" s="1352">
        <f>B23</f>
        <v>111</v>
      </c>
      <c r="R23" s="705" t="s">
        <v>14</v>
      </c>
      <c r="S23" s="706">
        <f>F23</f>
        <v>100</v>
      </c>
      <c r="T23" s="705" t="s">
        <v>14</v>
      </c>
      <c r="U23" s="706">
        <f>H23</f>
        <v>100</v>
      </c>
      <c r="V23" s="705" t="s">
        <v>14</v>
      </c>
      <c r="W23" s="706">
        <f>J23</f>
        <v>100</v>
      </c>
      <c r="X23" s="1355"/>
      <c r="Y23" s="38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14"/>
      <c r="Q24" s="1352">
        <f t="shared" ref="Q24:Q36" si="11">B24</f>
        <v>111</v>
      </c>
      <c r="R24" s="705" t="s">
        <v>14</v>
      </c>
      <c r="S24" s="706">
        <f>F24</f>
        <v>100</v>
      </c>
      <c r="T24" s="705" t="s">
        <v>14</v>
      </c>
      <c r="U24" s="706">
        <f>H24</f>
        <v>100</v>
      </c>
      <c r="V24" s="705" t="s">
        <v>14</v>
      </c>
      <c r="W24" s="706">
        <f>J24</f>
        <v>100</v>
      </c>
      <c r="X24" s="1355"/>
      <c r="Y24" s="38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14"/>
      <c r="Q25" s="1343">
        <f t="shared" si="11"/>
        <v>111</v>
      </c>
      <c r="R25" s="701" t="s">
        <v>14</v>
      </c>
      <c r="S25" s="702">
        <f>F25</f>
        <v>100</v>
      </c>
      <c r="T25" s="701" t="s">
        <v>14</v>
      </c>
      <c r="U25" s="702">
        <f>H25</f>
        <v>100</v>
      </c>
      <c r="V25" s="701" t="s">
        <v>14</v>
      </c>
      <c r="W25" s="702">
        <f>J25</f>
        <v>100</v>
      </c>
      <c r="X25" s="703"/>
      <c r="Y25" s="3814"/>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3"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8"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18"/>
      <c r="Q27" s="707" t="str">
        <f t="shared" si="11"/>
        <v>项目停车位配比</v>
      </c>
      <c r="R27" s="708" t="s">
        <v>14</v>
      </c>
      <c r="S27" s="709">
        <f t="shared" si="12"/>
        <v>100</v>
      </c>
      <c r="T27" s="708" t="s">
        <v>14</v>
      </c>
      <c r="U27" s="709">
        <f t="shared" si="13"/>
        <v>100</v>
      </c>
      <c r="V27" s="708" t="s">
        <v>14</v>
      </c>
      <c r="W27" s="709">
        <f t="shared" si="14"/>
        <v>100</v>
      </c>
      <c r="X27" s="710"/>
      <c r="Y27" s="3818"/>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18"/>
      <c r="Q28" s="1352" t="str">
        <f t="shared" si="11"/>
        <v>公共部分装修</v>
      </c>
      <c r="R28" s="705" t="s">
        <v>14</v>
      </c>
      <c r="S28" s="706">
        <f t="shared" si="12"/>
        <v>100</v>
      </c>
      <c r="T28" s="705" t="s">
        <v>14</v>
      </c>
      <c r="U28" s="706">
        <f t="shared" si="13"/>
        <v>100</v>
      </c>
      <c r="V28" s="705" t="s">
        <v>14</v>
      </c>
      <c r="W28" s="706">
        <f t="shared" si="14"/>
        <v>100</v>
      </c>
      <c r="X28" s="1355"/>
      <c r="Y28" s="3818"/>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18"/>
      <c r="Q29" s="1352" t="str">
        <f t="shared" si="11"/>
        <v>成新率</v>
      </c>
      <c r="R29" s="705" t="s">
        <v>14</v>
      </c>
      <c r="S29" s="706" t="e">
        <f t="shared" si="12"/>
        <v>#N/A</v>
      </c>
      <c r="T29" s="705" t="s">
        <v>14</v>
      </c>
      <c r="U29" s="706" t="e">
        <f t="shared" si="13"/>
        <v>#N/A</v>
      </c>
      <c r="V29" s="705" t="s">
        <v>14</v>
      </c>
      <c r="W29" s="706" t="e">
        <f t="shared" si="14"/>
        <v>#N/A</v>
      </c>
      <c r="X29" s="1355"/>
      <c r="Y29" s="3818"/>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18"/>
      <c r="Q30" s="1352" t="str">
        <f t="shared" si="11"/>
        <v>物业等级</v>
      </c>
      <c r="R30" s="705" t="s">
        <v>14</v>
      </c>
      <c r="S30" s="706">
        <f t="shared" si="12"/>
        <v>100</v>
      </c>
      <c r="T30" s="705" t="s">
        <v>14</v>
      </c>
      <c r="U30" s="706">
        <f t="shared" si="13"/>
        <v>100</v>
      </c>
      <c r="V30" s="705" t="s">
        <v>14</v>
      </c>
      <c r="W30" s="706">
        <f t="shared" si="14"/>
        <v>100</v>
      </c>
      <c r="X30" s="1355"/>
      <c r="Y30" s="3818"/>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18"/>
      <c r="Q31" s="1343" t="str">
        <f t="shared" si="11"/>
        <v>停车位面积</v>
      </c>
      <c r="R31" s="701" t="s">
        <v>14</v>
      </c>
      <c r="S31" s="702" t="e">
        <f t="shared" si="12"/>
        <v>#N/A</v>
      </c>
      <c r="T31" s="701" t="s">
        <v>14</v>
      </c>
      <c r="U31" s="702" t="e">
        <f t="shared" si="13"/>
        <v>#N/A</v>
      </c>
      <c r="V31" s="701" t="s">
        <v>14</v>
      </c>
      <c r="W31" s="702" t="e">
        <f t="shared" si="14"/>
        <v>#N/A</v>
      </c>
      <c r="X31" s="703"/>
      <c r="Y31" s="3818"/>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18" t="s">
        <v>1691</v>
      </c>
      <c r="Q32" s="1352" t="str">
        <f t="shared" si="11"/>
        <v>车位类型</v>
      </c>
      <c r="R32" s="705" t="s">
        <v>14</v>
      </c>
      <c r="S32" s="706">
        <f t="shared" si="12"/>
        <v>100</v>
      </c>
      <c r="T32" s="705" t="s">
        <v>14</v>
      </c>
      <c r="U32" s="706">
        <f t="shared" si="13"/>
        <v>100</v>
      </c>
      <c r="V32" s="705" t="s">
        <v>14</v>
      </c>
      <c r="W32" s="706">
        <f t="shared" si="14"/>
        <v>100</v>
      </c>
      <c r="X32" s="1355"/>
      <c r="Y32" s="3818"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18"/>
      <c r="Q33" s="1352" t="str">
        <f t="shared" si="11"/>
        <v>是否直接入户</v>
      </c>
      <c r="R33" s="705" t="s">
        <v>14</v>
      </c>
      <c r="S33" s="706">
        <f t="shared" si="12"/>
        <v>100</v>
      </c>
      <c r="T33" s="705" t="s">
        <v>14</v>
      </c>
      <c r="U33" s="706">
        <f t="shared" si="13"/>
        <v>100</v>
      </c>
      <c r="V33" s="705" t="s">
        <v>14</v>
      </c>
      <c r="W33" s="706">
        <f t="shared" si="14"/>
        <v>100</v>
      </c>
      <c r="X33" s="1355"/>
      <c r="Y33" s="38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18"/>
      <c r="Q34" s="1352">
        <f t="shared" si="11"/>
        <v>111</v>
      </c>
      <c r="R34" s="705" t="s">
        <v>14</v>
      </c>
      <c r="S34" s="706">
        <f t="shared" si="12"/>
        <v>100</v>
      </c>
      <c r="T34" s="705" t="s">
        <v>14</v>
      </c>
      <c r="U34" s="706">
        <f t="shared" si="13"/>
        <v>100</v>
      </c>
      <c r="V34" s="705" t="s">
        <v>14</v>
      </c>
      <c r="W34" s="706">
        <f t="shared" si="14"/>
        <v>100</v>
      </c>
      <c r="X34" s="1355"/>
      <c r="Y34" s="38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18"/>
      <c r="Q35" s="707">
        <f t="shared" si="11"/>
        <v>111</v>
      </c>
      <c r="R35" s="708" t="s">
        <v>14</v>
      </c>
      <c r="S35" s="709">
        <f t="shared" si="12"/>
        <v>100</v>
      </c>
      <c r="T35" s="708" t="s">
        <v>14</v>
      </c>
      <c r="U35" s="709">
        <f t="shared" si="13"/>
        <v>100</v>
      </c>
      <c r="V35" s="708" t="s">
        <v>14</v>
      </c>
      <c r="W35" s="709">
        <f t="shared" si="14"/>
        <v>100</v>
      </c>
      <c r="X35" s="710"/>
      <c r="Y35" s="38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18"/>
      <c r="Q36" s="1352">
        <f t="shared" si="11"/>
        <v>111</v>
      </c>
      <c r="R36" s="705" t="s">
        <v>14</v>
      </c>
      <c r="S36" s="706">
        <f t="shared" si="12"/>
        <v>100</v>
      </c>
      <c r="T36" s="705" t="s">
        <v>14</v>
      </c>
      <c r="U36" s="706">
        <f t="shared" si="13"/>
        <v>100</v>
      </c>
      <c r="V36" s="705" t="s">
        <v>14</v>
      </c>
      <c r="W36" s="706">
        <f t="shared" si="14"/>
        <v>100</v>
      </c>
      <c r="X36" s="1355"/>
      <c r="Y36" s="3818"/>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06" t="str">
        <f>A37</f>
        <v>成交单价</v>
      </c>
      <c r="Q37" s="3806"/>
      <c r="R37" s="3807">
        <f>E37</f>
        <v>0</v>
      </c>
      <c r="S37" s="3807"/>
      <c r="T37" s="3807">
        <f>G37</f>
        <v>0</v>
      </c>
      <c r="U37" s="3807"/>
      <c r="V37" s="3807">
        <f>I37</f>
        <v>0</v>
      </c>
      <c r="W37" s="3807"/>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06" t="str">
        <f>A38</f>
        <v>比较价值（元/平方米）</v>
      </c>
      <c r="Q38" s="3806"/>
      <c r="R38" s="3807" t="e">
        <f>IF(F1="售价",ROUND(PRODUCT(R37,AA7:AA36),0),ROUND(PRODUCT(R37,AA7:AA36),1))</f>
        <v>#DIV/0!</v>
      </c>
      <c r="S38" s="3807"/>
      <c r="T38" s="3807" t="e">
        <f>IF(F1="售价",ROUND(PRODUCT(T37,AB7:AB36),0),ROUND(PRODUCT(T37,AB7:AB36),1))</f>
        <v>#DIV/0!</v>
      </c>
      <c r="U38" s="3807"/>
      <c r="V38" s="3807" t="e">
        <f>IF(F1="售价",ROUND(PRODUCT(V37,AC7:AC36),0),ROUND(PRODUCT(V37,AC7:AC36),1))</f>
        <v>#DIV/0!</v>
      </c>
      <c r="W38" s="3807"/>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08" t="str">
        <f>A39</f>
        <v>估价对象XX用房的比较价值（楼面单价，元/平方米）</v>
      </c>
      <c r="Q39" s="3809"/>
      <c r="R39" s="3874" t="e">
        <f>IF(F1="售价",ROUND(IF(D38="简单平均",AVERAGE(R38:W38),R38*F38+T38*H38+V38*J38),0),ROUND(IF(D38="简单平均",AVERAGE(R38:V38),R38*F38+T38*H38+V38*J38),1))</f>
        <v>#DIV/0!</v>
      </c>
      <c r="S39" s="3874"/>
      <c r="T39" s="3874"/>
      <c r="U39" s="3874"/>
      <c r="V39" s="3874"/>
      <c r="W39" s="387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5" t="s">
        <v>1762</v>
      </c>
      <c r="D4" s="3826"/>
      <c r="E4" s="3827" t="s">
        <v>1763</v>
      </c>
      <c r="F4" s="3828"/>
      <c r="G4" s="3825" t="s">
        <v>1764</v>
      </c>
      <c r="H4" s="3826"/>
      <c r="I4" s="3825" t="s">
        <v>1765</v>
      </c>
      <c r="J4" s="3826"/>
      <c r="K4" s="559" t="s">
        <v>1766</v>
      </c>
      <c r="L4" s="2712"/>
      <c r="M4" s="2713"/>
      <c r="N4" s="2713"/>
      <c r="O4" s="2713"/>
      <c r="P4" s="3829" t="s">
        <v>1767</v>
      </c>
      <c r="Q4" s="3830"/>
      <c r="R4" s="3835" t="s">
        <v>1763</v>
      </c>
      <c r="S4" s="3836"/>
      <c r="T4" s="3835" t="s">
        <v>1764</v>
      </c>
      <c r="U4" s="3836"/>
      <c r="V4" s="3820" t="s">
        <v>1765</v>
      </c>
      <c r="W4" s="3820"/>
      <c r="X4" s="1355"/>
      <c r="Y4" s="3835" t="s">
        <v>1767</v>
      </c>
      <c r="Z4" s="3836"/>
      <c r="AA4" s="3822" t="s">
        <v>1763</v>
      </c>
      <c r="AB4" s="3823" t="s">
        <v>1764</v>
      </c>
      <c r="AC4" s="3822" t="s">
        <v>1765</v>
      </c>
    </row>
    <row r="5" spans="1:29" ht="15">
      <c r="A5" s="358"/>
      <c r="B5" s="359"/>
      <c r="C5" s="3843" t="s">
        <v>1668</v>
      </c>
      <c r="D5" s="3844"/>
      <c r="E5" s="3855" t="s">
        <v>1669</v>
      </c>
      <c r="F5" s="3854"/>
      <c r="G5" s="3843" t="s">
        <v>1670</v>
      </c>
      <c r="H5" s="3844"/>
      <c r="I5" s="3843" t="s">
        <v>1671</v>
      </c>
      <c r="J5" s="3844"/>
      <c r="K5" s="559"/>
      <c r="L5" s="2712"/>
      <c r="M5" s="2713"/>
      <c r="N5" s="2713"/>
      <c r="O5" s="2713"/>
      <c r="P5" s="3831"/>
      <c r="Q5" s="3832"/>
      <c r="R5" s="3837"/>
      <c r="S5" s="3838"/>
      <c r="T5" s="3837"/>
      <c r="U5" s="3838"/>
      <c r="V5" s="3820"/>
      <c r="W5" s="3820"/>
      <c r="X5" s="1355"/>
      <c r="Y5" s="3837"/>
      <c r="Z5" s="3838"/>
      <c r="AA5" s="3823"/>
      <c r="AB5" s="3823"/>
      <c r="AC5" s="3823"/>
    </row>
    <row r="6" spans="1:29" ht="15.75" thickBot="1">
      <c r="A6" s="360"/>
      <c r="B6" s="361"/>
      <c r="C6" s="3856" t="s">
        <v>1672</v>
      </c>
      <c r="D6" s="3842"/>
      <c r="E6" s="3857" t="s">
        <v>1672</v>
      </c>
      <c r="F6" s="3852"/>
      <c r="G6" s="3856" t="s">
        <v>1672</v>
      </c>
      <c r="H6" s="3842"/>
      <c r="I6" s="3856" t="s">
        <v>1672</v>
      </c>
      <c r="J6" s="3842"/>
      <c r="K6" s="559" t="s">
        <v>1673</v>
      </c>
      <c r="L6" s="2712"/>
      <c r="M6" s="2713"/>
      <c r="N6" s="2713"/>
      <c r="O6" s="2713"/>
      <c r="P6" s="3833"/>
      <c r="Q6" s="3834"/>
      <c r="R6" s="3837"/>
      <c r="S6" s="3838"/>
      <c r="T6" s="3839"/>
      <c r="U6" s="3840"/>
      <c r="V6" s="3820"/>
      <c r="W6" s="3820"/>
      <c r="X6" s="1355"/>
      <c r="Y6" s="3839"/>
      <c r="Z6" s="3840"/>
      <c r="AA6" s="3824"/>
      <c r="AB6" s="3824"/>
      <c r="AC6" s="3824"/>
    </row>
    <row r="7" spans="1:29" s="108" customFormat="1" ht="15.75" thickBot="1">
      <c r="A7" s="362" t="s">
        <v>1674</v>
      </c>
      <c r="B7" s="363"/>
      <c r="C7" s="364">
        <f>'数据-取费表'!B2</f>
        <v>44991</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5" t="s">
        <v>1675</v>
      </c>
      <c r="Q7" s="3847"/>
      <c r="R7" s="701" t="s">
        <v>14</v>
      </c>
      <c r="S7" s="702">
        <f t="shared" ref="S7:S14" si="0">F7</f>
        <v>0</v>
      </c>
      <c r="T7" s="701" t="s">
        <v>14</v>
      </c>
      <c r="U7" s="702">
        <f t="shared" ref="U7:U14" si="1">H7</f>
        <v>0</v>
      </c>
      <c r="V7" s="701" t="s">
        <v>14</v>
      </c>
      <c r="W7" s="702">
        <f t="shared" ref="W7:W14" si="2">J7</f>
        <v>0</v>
      </c>
      <c r="X7" s="703"/>
      <c r="Y7" s="3845" t="s">
        <v>1675</v>
      </c>
      <c r="Z7" s="3846"/>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06" t="s">
        <v>1681</v>
      </c>
      <c r="Q9" s="1343" t="str">
        <f t="shared" ref="Q9:Q14" si="6">B9</f>
        <v>用途</v>
      </c>
      <c r="R9" s="701" t="s">
        <v>14</v>
      </c>
      <c r="S9" s="702">
        <f t="shared" si="0"/>
        <v>100</v>
      </c>
      <c r="T9" s="701" t="s">
        <v>14</v>
      </c>
      <c r="U9" s="702">
        <f t="shared" si="1"/>
        <v>100</v>
      </c>
      <c r="V9" s="701" t="s">
        <v>14</v>
      </c>
      <c r="W9" s="702">
        <f t="shared" si="2"/>
        <v>100</v>
      </c>
      <c r="X9" s="703"/>
      <c r="Y9" s="3667" t="s">
        <v>1682</v>
      </c>
      <c r="Z9" s="52" t="str">
        <f t="shared" ref="Z9:Z14" si="7">Q9</f>
        <v>用途</v>
      </c>
      <c r="AA9" s="704">
        <f t="shared" si="3"/>
        <v>1</v>
      </c>
      <c r="AB9" s="704">
        <f t="shared" si="4"/>
        <v>1</v>
      </c>
      <c r="AC9" s="704">
        <f t="shared" si="5"/>
        <v>1</v>
      </c>
    </row>
    <row r="10" spans="1:29" s="378" customFormat="1" ht="27">
      <c r="A10" s="374"/>
      <c r="B10" s="375" t="s">
        <v>1683</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806"/>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06"/>
      <c r="Q11" s="1343">
        <f t="shared" si="6"/>
        <v>111</v>
      </c>
      <c r="R11" s="701" t="s">
        <v>14</v>
      </c>
      <c r="S11" s="702">
        <f t="shared" si="0"/>
        <v>100</v>
      </c>
      <c r="T11" s="701" t="s">
        <v>14</v>
      </c>
      <c r="U11" s="702">
        <f t="shared" si="1"/>
        <v>100</v>
      </c>
      <c r="V11" s="701" t="s">
        <v>14</v>
      </c>
      <c r="W11" s="702">
        <f t="shared" si="2"/>
        <v>100</v>
      </c>
      <c r="X11" s="703"/>
      <c r="Y11" s="366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06"/>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06"/>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13" t="s">
        <v>1686</v>
      </c>
      <c r="Q14" s="1352" t="str">
        <f t="shared" si="6"/>
        <v>交通便捷度</v>
      </c>
      <c r="R14" s="705" t="s">
        <v>14</v>
      </c>
      <c r="S14" s="706">
        <f t="shared" si="0"/>
        <v>100</v>
      </c>
      <c r="T14" s="705" t="s">
        <v>14</v>
      </c>
      <c r="U14" s="706">
        <f t="shared" si="1"/>
        <v>100</v>
      </c>
      <c r="V14" s="705" t="s">
        <v>14</v>
      </c>
      <c r="W14" s="706">
        <f t="shared" si="2"/>
        <v>100</v>
      </c>
      <c r="X14" s="1355"/>
      <c r="Y14" s="3813"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14"/>
      <c r="Q15" s="1352"/>
      <c r="R15" s="705"/>
      <c r="S15" s="706"/>
      <c r="T15" s="705"/>
      <c r="U15" s="706"/>
      <c r="V15" s="705"/>
      <c r="W15" s="706"/>
      <c r="X15" s="1355"/>
      <c r="Y15" s="3814"/>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14"/>
      <c r="Q16" s="1352" t="str">
        <f>B16</f>
        <v>公共配套设施</v>
      </c>
      <c r="R16" s="705" t="s">
        <v>14</v>
      </c>
      <c r="S16" s="706">
        <f>F16</f>
        <v>100</v>
      </c>
      <c r="T16" s="705" t="s">
        <v>14</v>
      </c>
      <c r="U16" s="706">
        <f>H16</f>
        <v>100</v>
      </c>
      <c r="V16" s="705" t="s">
        <v>14</v>
      </c>
      <c r="W16" s="706">
        <f>J16</f>
        <v>100</v>
      </c>
      <c r="X16" s="1355"/>
      <c r="Y16" s="38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14"/>
      <c r="Q17" s="1352"/>
      <c r="R17" s="705"/>
      <c r="S17" s="706"/>
      <c r="T17" s="705"/>
      <c r="U17" s="706"/>
      <c r="V17" s="705"/>
      <c r="W17" s="706"/>
      <c r="X17" s="1355"/>
      <c r="Y17" s="3814"/>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14"/>
      <c r="Q18" s="1352" t="str">
        <f>B18</f>
        <v>基础设施水平</v>
      </c>
      <c r="R18" s="705" t="s">
        <v>14</v>
      </c>
      <c r="S18" s="706">
        <f>F18</f>
        <v>100</v>
      </c>
      <c r="T18" s="705" t="s">
        <v>14</v>
      </c>
      <c r="U18" s="706">
        <f>H18</f>
        <v>100</v>
      </c>
      <c r="V18" s="705" t="s">
        <v>14</v>
      </c>
      <c r="W18" s="706">
        <f>J18</f>
        <v>100</v>
      </c>
      <c r="X18" s="1355"/>
      <c r="Y18" s="38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14"/>
      <c r="Q19" s="1352"/>
      <c r="R19" s="705"/>
      <c r="S19" s="706"/>
      <c r="T19" s="705"/>
      <c r="U19" s="706"/>
      <c r="V19" s="705"/>
      <c r="W19" s="706"/>
      <c r="X19" s="1355"/>
      <c r="Y19" s="3814"/>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14"/>
      <c r="Q20" s="1352" t="str">
        <f>B20</f>
        <v>自然及人文环境</v>
      </c>
      <c r="R20" s="705" t="s">
        <v>14</v>
      </c>
      <c r="S20" s="706">
        <f>F20</f>
        <v>100</v>
      </c>
      <c r="T20" s="705" t="s">
        <v>14</v>
      </c>
      <c r="U20" s="706">
        <f>H20</f>
        <v>100</v>
      </c>
      <c r="V20" s="705" t="s">
        <v>14</v>
      </c>
      <c r="W20" s="706">
        <f>J20</f>
        <v>100</v>
      </c>
      <c r="X20" s="1355"/>
      <c r="Y20" s="38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14"/>
      <c r="Q21" s="1352"/>
      <c r="R21" s="705"/>
      <c r="S21" s="706"/>
      <c r="T21" s="705"/>
      <c r="U21" s="706"/>
      <c r="V21" s="705"/>
      <c r="W21" s="706"/>
      <c r="X21" s="1355"/>
      <c r="Y21" s="3814"/>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14"/>
      <c r="Q22" s="1352" t="str">
        <f>B22</f>
        <v>楼层</v>
      </c>
      <c r="R22" s="705" t="s">
        <v>14</v>
      </c>
      <c r="S22" s="706">
        <f>F22</f>
        <v>100</v>
      </c>
      <c r="T22" s="705" t="s">
        <v>14</v>
      </c>
      <c r="U22" s="706">
        <f>H22</f>
        <v>100</v>
      </c>
      <c r="V22" s="705" t="s">
        <v>14</v>
      </c>
      <c r="W22" s="706">
        <f>J22</f>
        <v>100</v>
      </c>
      <c r="X22" s="1355"/>
      <c r="Y22" s="38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14"/>
      <c r="Q23" s="1352">
        <f>B23</f>
        <v>111</v>
      </c>
      <c r="R23" s="705" t="s">
        <v>14</v>
      </c>
      <c r="S23" s="706">
        <f>F23</f>
        <v>100</v>
      </c>
      <c r="T23" s="705" t="s">
        <v>14</v>
      </c>
      <c r="U23" s="706">
        <f>H23</f>
        <v>100</v>
      </c>
      <c r="V23" s="705" t="s">
        <v>14</v>
      </c>
      <c r="W23" s="706">
        <f>J23</f>
        <v>100</v>
      </c>
      <c r="X23" s="1355"/>
      <c r="Y23" s="38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14"/>
      <c r="Q24" s="1352">
        <f t="shared" ref="Q24:Q34" si="11">B24</f>
        <v>111</v>
      </c>
      <c r="R24" s="705" t="s">
        <v>14</v>
      </c>
      <c r="S24" s="706">
        <f>F24</f>
        <v>100</v>
      </c>
      <c r="T24" s="705" t="s">
        <v>14</v>
      </c>
      <c r="U24" s="706">
        <f>H24</f>
        <v>100</v>
      </c>
      <c r="V24" s="705" t="s">
        <v>14</v>
      </c>
      <c r="W24" s="706">
        <f>J24</f>
        <v>100</v>
      </c>
      <c r="X24" s="1355"/>
      <c r="Y24" s="3814"/>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14"/>
      <c r="Q25" s="1343">
        <f t="shared" si="11"/>
        <v>111</v>
      </c>
      <c r="R25" s="701" t="s">
        <v>14</v>
      </c>
      <c r="S25" s="702">
        <f>F25</f>
        <v>100</v>
      </c>
      <c r="T25" s="701" t="s">
        <v>14</v>
      </c>
      <c r="U25" s="702">
        <f>H25</f>
        <v>100</v>
      </c>
      <c r="V25" s="701" t="s">
        <v>14</v>
      </c>
      <c r="W25" s="702">
        <f>J25</f>
        <v>100</v>
      </c>
      <c r="X25" s="703"/>
      <c r="Y25" s="3814"/>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3"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8"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18"/>
      <c r="Q27" s="707" t="str">
        <f t="shared" si="11"/>
        <v>成新率</v>
      </c>
      <c r="R27" s="708" t="s">
        <v>14</v>
      </c>
      <c r="S27" s="709" t="e">
        <f t="shared" si="12"/>
        <v>#N/A</v>
      </c>
      <c r="T27" s="708" t="s">
        <v>14</v>
      </c>
      <c r="U27" s="709" t="e">
        <f t="shared" si="13"/>
        <v>#N/A</v>
      </c>
      <c r="V27" s="708" t="s">
        <v>14</v>
      </c>
      <c r="W27" s="709" t="e">
        <f t="shared" si="14"/>
        <v>#N/A</v>
      </c>
      <c r="X27" s="710"/>
      <c r="Y27" s="3818"/>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18"/>
      <c r="Q28" s="1352" t="str">
        <f t="shared" si="11"/>
        <v>物业等级</v>
      </c>
      <c r="R28" s="705" t="s">
        <v>14</v>
      </c>
      <c r="S28" s="706">
        <f t="shared" si="12"/>
        <v>100</v>
      </c>
      <c r="T28" s="705" t="s">
        <v>14</v>
      </c>
      <c r="U28" s="706">
        <f t="shared" si="13"/>
        <v>100</v>
      </c>
      <c r="V28" s="705" t="s">
        <v>14</v>
      </c>
      <c r="W28" s="706">
        <f t="shared" si="14"/>
        <v>100</v>
      </c>
      <c r="X28" s="1355"/>
      <c r="Y28" s="3818"/>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18"/>
      <c r="Q29" s="1352" t="str">
        <f t="shared" si="11"/>
        <v>有无电梯</v>
      </c>
      <c r="R29" s="705" t="s">
        <v>14</v>
      </c>
      <c r="S29" s="706">
        <f t="shared" si="12"/>
        <v>100</v>
      </c>
      <c r="T29" s="705" t="s">
        <v>14</v>
      </c>
      <c r="U29" s="706">
        <f t="shared" si="13"/>
        <v>100</v>
      </c>
      <c r="V29" s="705" t="s">
        <v>14</v>
      </c>
      <c r="W29" s="706">
        <f t="shared" si="14"/>
        <v>100</v>
      </c>
      <c r="X29" s="1355"/>
      <c r="Y29" s="3818"/>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18"/>
      <c r="Q30" s="1352" t="str">
        <f t="shared" si="11"/>
        <v>建筑面积</v>
      </c>
      <c r="R30" s="705" t="s">
        <v>14</v>
      </c>
      <c r="S30" s="706" t="e">
        <f t="shared" si="12"/>
        <v>#N/A</v>
      </c>
      <c r="T30" s="705" t="s">
        <v>14</v>
      </c>
      <c r="U30" s="706" t="e">
        <f t="shared" si="13"/>
        <v>#N/A</v>
      </c>
      <c r="V30" s="705" t="s">
        <v>14</v>
      </c>
      <c r="W30" s="706" t="e">
        <f t="shared" si="14"/>
        <v>#N/A</v>
      </c>
      <c r="X30" s="1355"/>
      <c r="Y30" s="3818"/>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18"/>
      <c r="Q31" s="1343" t="str">
        <f t="shared" si="11"/>
        <v>是否封闭</v>
      </c>
      <c r="R31" s="701" t="s">
        <v>14</v>
      </c>
      <c r="S31" s="702">
        <f t="shared" si="12"/>
        <v>100</v>
      </c>
      <c r="T31" s="701" t="s">
        <v>14</v>
      </c>
      <c r="U31" s="702">
        <f t="shared" si="13"/>
        <v>100</v>
      </c>
      <c r="V31" s="701" t="s">
        <v>14</v>
      </c>
      <c r="W31" s="702">
        <f t="shared" si="14"/>
        <v>100</v>
      </c>
      <c r="X31" s="703"/>
      <c r="Y31" s="38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18" t="s">
        <v>1691</v>
      </c>
      <c r="Q32" s="1352">
        <f t="shared" si="11"/>
        <v>111</v>
      </c>
      <c r="R32" s="705" t="s">
        <v>14</v>
      </c>
      <c r="S32" s="706">
        <f t="shared" si="12"/>
        <v>100</v>
      </c>
      <c r="T32" s="705" t="s">
        <v>14</v>
      </c>
      <c r="U32" s="706">
        <f t="shared" si="13"/>
        <v>100</v>
      </c>
      <c r="V32" s="705" t="s">
        <v>14</v>
      </c>
      <c r="W32" s="706">
        <f t="shared" si="14"/>
        <v>100</v>
      </c>
      <c r="X32" s="1355"/>
      <c r="Y32" s="3818"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18"/>
      <c r="Q33" s="1352">
        <f t="shared" si="11"/>
        <v>111</v>
      </c>
      <c r="R33" s="705" t="s">
        <v>14</v>
      </c>
      <c r="S33" s="706">
        <f t="shared" si="12"/>
        <v>100</v>
      </c>
      <c r="T33" s="705" t="s">
        <v>14</v>
      </c>
      <c r="U33" s="706">
        <f t="shared" si="13"/>
        <v>100</v>
      </c>
      <c r="V33" s="705" t="s">
        <v>14</v>
      </c>
      <c r="W33" s="706">
        <f t="shared" si="14"/>
        <v>100</v>
      </c>
      <c r="X33" s="1355"/>
      <c r="Y33" s="3818"/>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18"/>
      <c r="Q34" s="1352">
        <f t="shared" si="11"/>
        <v>111</v>
      </c>
      <c r="R34" s="705" t="s">
        <v>14</v>
      </c>
      <c r="S34" s="706">
        <f t="shared" si="12"/>
        <v>100</v>
      </c>
      <c r="T34" s="705" t="s">
        <v>14</v>
      </c>
      <c r="U34" s="706">
        <f t="shared" si="13"/>
        <v>100</v>
      </c>
      <c r="V34" s="705" t="s">
        <v>14</v>
      </c>
      <c r="W34" s="706">
        <f t="shared" si="14"/>
        <v>100</v>
      </c>
      <c r="X34" s="1355"/>
      <c r="Y34" s="3818"/>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06" t="str">
        <f>A35</f>
        <v>成交单价（元/平方米）</v>
      </c>
      <c r="Q35" s="3806"/>
      <c r="R35" s="3807">
        <f>E35</f>
        <v>0</v>
      </c>
      <c r="S35" s="3807"/>
      <c r="T35" s="3807">
        <f>G35</f>
        <v>0</v>
      </c>
      <c r="U35" s="3807"/>
      <c r="V35" s="3807">
        <f>I35</f>
        <v>0</v>
      </c>
      <c r="W35" s="3807"/>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06" t="str">
        <f>A36</f>
        <v>比较价值（元/平方米）</v>
      </c>
      <c r="Q36" s="3806"/>
      <c r="R36" s="3807" t="e">
        <f>IF(F1="售价",ROUND(PRODUCT(R35,AA7:AA34),0),ROUND(PRODUCT(R35,AA7:AA34),1))</f>
        <v>#DIV/0!</v>
      </c>
      <c r="S36" s="3807"/>
      <c r="T36" s="3807" t="e">
        <f>IF(F1="售价",ROUND(PRODUCT(T35,AB7:AB34),0),ROUND(PRODUCT(T35,AB7:AB34),1))</f>
        <v>#DIV/0!</v>
      </c>
      <c r="U36" s="3807"/>
      <c r="V36" s="3807" t="e">
        <f>IF(F1="售价",ROUND(PRODUCT(V35,AC7:AC34),0),ROUND(PRODUCT(V35,AC7:AC34),1))</f>
        <v>#DIV/0!</v>
      </c>
      <c r="W36" s="3807"/>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08" t="str">
        <f>A37</f>
        <v>估价对象XX用房的比较价值（楼面单价，元/平方米）</v>
      </c>
      <c r="Q37" s="3809"/>
      <c r="R37" s="3874" t="e">
        <f>IF(F1="售价",ROUND(IF(D36="简单平均",AVERAGE(R36:W36),R36*F36+T36*H36+V36*J36),0),ROUND(IF(D36="简单平均",AVERAGE(R36:V36),R36*F36+T36*H36+V36*J36),1))</f>
        <v>#DIV/0!</v>
      </c>
      <c r="S37" s="3874"/>
      <c r="T37" s="3874"/>
      <c r="U37" s="3874"/>
      <c r="V37" s="3874"/>
      <c r="W37" s="387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22" zoomScale="90" zoomScaleNormal="60" zoomScaleSheetLayoutView="90" workbookViewId="0">
      <selection activeCell="D45" sqref="D4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f>F65</f>
        <v>4</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f>ROUND(IF(D3="",B2*10000/'数据-汇总表'!E3,B2*10000/D3),0)</f>
        <v>8889</v>
      </c>
      <c r="C3" s="203" t="s">
        <v>1861</v>
      </c>
      <c r="D3" s="1193">
        <v>4.5</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5" t="s">
        <v>1762</v>
      </c>
      <c r="D4" s="3826"/>
      <c r="E4" s="3827" t="s">
        <v>1763</v>
      </c>
      <c r="F4" s="3828"/>
      <c r="G4" s="3825" t="s">
        <v>1764</v>
      </c>
      <c r="H4" s="3826"/>
      <c r="I4" s="3825" t="s">
        <v>1765</v>
      </c>
      <c r="J4" s="3826"/>
      <c r="K4" s="559" t="s">
        <v>1766</v>
      </c>
      <c r="L4" s="2712"/>
      <c r="M4" s="2713"/>
      <c r="N4" s="2713"/>
      <c r="O4" s="2713"/>
      <c r="P4" s="3829" t="s">
        <v>1767</v>
      </c>
      <c r="Q4" s="3830"/>
      <c r="R4" s="3835" t="s">
        <v>1763</v>
      </c>
      <c r="S4" s="3836"/>
      <c r="T4" s="3835" t="s">
        <v>1764</v>
      </c>
      <c r="U4" s="3836"/>
      <c r="V4" s="3820" t="s">
        <v>1765</v>
      </c>
      <c r="W4" s="3820"/>
      <c r="X4" s="1355"/>
      <c r="Y4" s="3835" t="s">
        <v>1767</v>
      </c>
      <c r="Z4" s="3836"/>
      <c r="AA4" s="3822" t="s">
        <v>1763</v>
      </c>
      <c r="AB4" s="3823" t="s">
        <v>1764</v>
      </c>
      <c r="AC4" s="3822" t="s">
        <v>1765</v>
      </c>
    </row>
    <row r="5" spans="1:30" ht="15">
      <c r="A5" s="358"/>
      <c r="B5" s="359"/>
      <c r="C5" s="3848" t="s">
        <v>3691</v>
      </c>
      <c r="D5" s="3844"/>
      <c r="E5" s="3855" t="s">
        <v>1669</v>
      </c>
      <c r="F5" s="3854"/>
      <c r="G5" s="3843" t="s">
        <v>1670</v>
      </c>
      <c r="H5" s="3844"/>
      <c r="I5" s="3843" t="s">
        <v>1671</v>
      </c>
      <c r="J5" s="3844"/>
      <c r="K5" s="559"/>
      <c r="L5" s="2712"/>
      <c r="M5" s="2713"/>
      <c r="N5" s="2713"/>
      <c r="O5" s="2713"/>
      <c r="P5" s="3831"/>
      <c r="Q5" s="3832"/>
      <c r="R5" s="3837"/>
      <c r="S5" s="3838"/>
      <c r="T5" s="3837"/>
      <c r="U5" s="3838"/>
      <c r="V5" s="3820"/>
      <c r="W5" s="3820"/>
      <c r="X5" s="1355"/>
      <c r="Y5" s="3837"/>
      <c r="Z5" s="3838"/>
      <c r="AA5" s="3823"/>
      <c r="AB5" s="3823"/>
      <c r="AC5" s="3823"/>
    </row>
    <row r="6" spans="1:30" ht="15.75" thickBot="1">
      <c r="A6" s="360"/>
      <c r="B6" s="361"/>
      <c r="C6" s="3856" t="str">
        <f>'租金比较法-商业'!C6:D6</f>
        <v>复兴路14号院</v>
      </c>
      <c r="D6" s="3842"/>
      <c r="E6" s="3857" t="s">
        <v>1672</v>
      </c>
      <c r="F6" s="3852"/>
      <c r="G6" s="3856" t="s">
        <v>1672</v>
      </c>
      <c r="H6" s="3842"/>
      <c r="I6" s="3856" t="s">
        <v>1672</v>
      </c>
      <c r="J6" s="3842"/>
      <c r="K6" s="559" t="s">
        <v>1673</v>
      </c>
      <c r="L6" s="2712"/>
      <c r="M6" s="2713"/>
      <c r="N6" s="2713"/>
      <c r="O6" s="2713"/>
      <c r="P6" s="3833"/>
      <c r="Q6" s="3834"/>
      <c r="R6" s="3837"/>
      <c r="S6" s="3838"/>
      <c r="T6" s="3839"/>
      <c r="U6" s="3840"/>
      <c r="V6" s="3820"/>
      <c r="W6" s="3820"/>
      <c r="X6" s="1355"/>
      <c r="Y6" s="3839"/>
      <c r="Z6" s="3840"/>
      <c r="AA6" s="3824"/>
      <c r="AB6" s="3824"/>
      <c r="AC6" s="3824"/>
    </row>
    <row r="7" spans="1:30" s="108" customFormat="1" ht="15.75" thickBot="1">
      <c r="A7" s="362" t="s">
        <v>1674</v>
      </c>
      <c r="B7" s="363"/>
      <c r="C7" s="364">
        <f>'数据-取费表'!B2</f>
        <v>44991</v>
      </c>
      <c r="D7" s="365">
        <v>100</v>
      </c>
      <c r="E7" s="366">
        <f>C7</f>
        <v>44991</v>
      </c>
      <c r="F7" s="367">
        <f>SUMIF(69:69,YEAR(E7)&amp;"-"&amp;INT((MONTH(E7)+2)/3),70:70)</f>
        <v>100</v>
      </c>
      <c r="G7" s="1972">
        <f>C7</f>
        <v>44991</v>
      </c>
      <c r="H7" s="365">
        <f>SUMIF(69:69,YEAR(G7)&amp;"-"&amp;INT((MONTH(G7)+2)/3),70:70)</f>
        <v>100</v>
      </c>
      <c r="I7" s="1972">
        <f>C7</f>
        <v>44991</v>
      </c>
      <c r="J7" s="365">
        <f>SUMIF(69:69,YEAR(I7)&amp;"-"&amp;INT((MONTH(I7)+2)/3),70:70)</f>
        <v>100</v>
      </c>
      <c r="K7" s="560"/>
      <c r="L7" s="2714"/>
      <c r="M7" s="2715"/>
      <c r="N7" s="2715"/>
      <c r="O7" s="2715"/>
      <c r="P7" s="3845" t="s">
        <v>1675</v>
      </c>
      <c r="Q7" s="3847"/>
      <c r="R7" s="701" t="s">
        <v>14</v>
      </c>
      <c r="S7" s="702">
        <f t="shared" ref="S7:S15" si="0">F7</f>
        <v>100</v>
      </c>
      <c r="T7" s="701" t="s">
        <v>14</v>
      </c>
      <c r="U7" s="702">
        <f t="shared" ref="U7:U15" si="1">H7</f>
        <v>100</v>
      </c>
      <c r="V7" s="701" t="s">
        <v>14</v>
      </c>
      <c r="W7" s="702">
        <f t="shared" ref="W7:W15" si="2">J7</f>
        <v>100</v>
      </c>
      <c r="X7" s="703"/>
      <c r="Y7" s="3845" t="s">
        <v>1675</v>
      </c>
      <c r="Z7" s="3846"/>
      <c r="AA7" s="704">
        <f>D7/F7</f>
        <v>1</v>
      </c>
      <c r="AB7" s="704">
        <f>D7/H7</f>
        <v>1</v>
      </c>
      <c r="AC7" s="704">
        <f>D7/J7</f>
        <v>1</v>
      </c>
    </row>
    <row r="8" spans="1:30" s="108" customFormat="1" ht="15.75" thickBot="1">
      <c r="A8" s="362" t="s">
        <v>1676</v>
      </c>
      <c r="B8" s="363"/>
      <c r="C8" s="368" t="s">
        <v>1677</v>
      </c>
      <c r="D8" s="365">
        <v>100</v>
      </c>
      <c r="E8" s="368" t="s">
        <v>3501</v>
      </c>
      <c r="F8" s="367">
        <f>SUMIF(72:72,E8,73:73)-SUMIF(72:72,C8,73:73)+100</f>
        <v>100</v>
      </c>
      <c r="G8" s="368" t="s">
        <v>3501</v>
      </c>
      <c r="H8" s="365">
        <f>SUMIF(72:72,G8,73:73)-SUMIF(72:72,C8,73:73)+100</f>
        <v>100</v>
      </c>
      <c r="I8" s="368" t="s">
        <v>3501</v>
      </c>
      <c r="J8" s="365">
        <f>SUMIF(72:72,I8,73:73)-SUMIF(72:72,C8,73:73)+100</f>
        <v>100</v>
      </c>
      <c r="K8" s="560"/>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45" si="3">D8/F8</f>
        <v>1</v>
      </c>
      <c r="AB8" s="704">
        <f t="shared" ref="AB8:AB45" si="4">D8/H8</f>
        <v>1</v>
      </c>
      <c r="AC8" s="704">
        <f t="shared" ref="AC8:AC45" si="5">D8/J8</f>
        <v>1</v>
      </c>
    </row>
    <row r="9" spans="1:30" s="108" customFormat="1" ht="15" thickBot="1">
      <c r="A9" s="369" t="s">
        <v>1679</v>
      </c>
      <c r="B9" s="63" t="s">
        <v>1680</v>
      </c>
      <c r="C9" s="1975" t="s">
        <v>669</v>
      </c>
      <c r="D9" s="126">
        <v>100</v>
      </c>
      <c r="E9" s="1975" t="s">
        <v>669</v>
      </c>
      <c r="F9" s="126">
        <f>SUMIF(74:74,E9,75:75)-SUMIF(74:74,C9,75:75)+100</f>
        <v>100</v>
      </c>
      <c r="G9" s="1975" t="s">
        <v>669</v>
      </c>
      <c r="H9" s="126">
        <f>SUMIF(74:74,G9,75:75)-SUMIF(74:74,C9,75:75)+100</f>
        <v>100</v>
      </c>
      <c r="I9" s="1975" t="s">
        <v>669</v>
      </c>
      <c r="J9" s="126">
        <f>SUMIF(74:74,I9,75:75)-SUMIF(74:74,C9,75:75)+100</f>
        <v>100</v>
      </c>
      <c r="K9" s="560"/>
      <c r="L9" s="2714"/>
      <c r="M9" s="2715"/>
      <c r="N9" s="2715"/>
      <c r="O9" s="2769"/>
      <c r="P9" s="3806" t="s">
        <v>1681</v>
      </c>
      <c r="Q9" s="1343" t="str">
        <f t="shared" ref="Q9:Q15" si="6">B9</f>
        <v>用途</v>
      </c>
      <c r="R9" s="701" t="s">
        <v>14</v>
      </c>
      <c r="S9" s="702">
        <f t="shared" si="0"/>
        <v>100</v>
      </c>
      <c r="T9" s="701" t="s">
        <v>14</v>
      </c>
      <c r="U9" s="702">
        <f t="shared" si="1"/>
        <v>100</v>
      </c>
      <c r="V9" s="701" t="s">
        <v>14</v>
      </c>
      <c r="W9" s="702">
        <f t="shared" si="2"/>
        <v>100</v>
      </c>
      <c r="X9" s="703"/>
      <c r="Y9" s="3667" t="s">
        <v>1682</v>
      </c>
      <c r="Z9" s="52" t="str">
        <f t="shared" ref="Z9:Z15" si="7">Q9</f>
        <v>用途</v>
      </c>
      <c r="AA9" s="704">
        <f t="shared" si="3"/>
        <v>1</v>
      </c>
      <c r="AB9" s="704">
        <f t="shared" si="4"/>
        <v>1</v>
      </c>
      <c r="AC9" s="704">
        <f t="shared" si="5"/>
        <v>1</v>
      </c>
    </row>
    <row r="10" spans="1:30" s="378" customFormat="1" ht="27" hidden="1">
      <c r="A10" s="374"/>
      <c r="B10" s="375" t="s">
        <v>1683</v>
      </c>
      <c r="C10" s="383">
        <v>40</v>
      </c>
      <c r="D10" s="127">
        <v>100</v>
      </c>
      <c r="E10" s="416" t="s">
        <v>3693</v>
      </c>
      <c r="F10" s="127">
        <f>ROUND(100/'数据-取费表'!G16,0)</f>
        <v>100</v>
      </c>
      <c r="G10" s="414" t="s">
        <v>3693</v>
      </c>
      <c r="H10" s="127">
        <f>ROUND(100/'数据-取费表'!G16,0)</f>
        <v>100</v>
      </c>
      <c r="I10" s="414" t="s">
        <v>3693</v>
      </c>
      <c r="J10" s="127">
        <f>ROUND(100/'数据-取费表'!G16,0)</f>
        <v>100</v>
      </c>
      <c r="K10" s="620"/>
      <c r="L10" s="2716"/>
      <c r="M10" s="2717"/>
      <c r="N10" s="2717"/>
      <c r="O10" s="2770"/>
      <c r="P10" s="3806"/>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30" ht="15" hidden="1">
      <c r="A11" s="379"/>
      <c r="B11" s="375" t="s">
        <v>1684</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c r="L11" s="2718"/>
      <c r="M11" s="2713"/>
      <c r="N11" s="2713"/>
      <c r="O11" s="2771"/>
      <c r="P11" s="3806"/>
      <c r="Q11" s="1343" t="str">
        <f t="shared" si="6"/>
        <v>容积率</v>
      </c>
      <c r="R11" s="701" t="s">
        <v>14</v>
      </c>
      <c r="S11" s="702">
        <f t="shared" si="0"/>
        <v>100</v>
      </c>
      <c r="T11" s="701" t="s">
        <v>14</v>
      </c>
      <c r="U11" s="702">
        <f t="shared" si="1"/>
        <v>100</v>
      </c>
      <c r="V11" s="701" t="s">
        <v>14</v>
      </c>
      <c r="W11" s="702">
        <f t="shared" si="2"/>
        <v>100</v>
      </c>
      <c r="X11" s="703"/>
      <c r="Y11" s="3667"/>
      <c r="Z11" s="52" t="str">
        <f t="shared" si="7"/>
        <v>容积率</v>
      </c>
      <c r="AA11" s="704">
        <f t="shared" si="3"/>
        <v>1</v>
      </c>
      <c r="AB11" s="704">
        <f t="shared" si="4"/>
        <v>1</v>
      </c>
      <c r="AC11" s="704">
        <f t="shared" si="5"/>
        <v>1</v>
      </c>
    </row>
    <row r="12" spans="1:30" s="108" customFormat="1" ht="15" hidden="1">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06"/>
      <c r="Q12" s="1343" t="str">
        <f t="shared" si="6"/>
        <v>配建</v>
      </c>
      <c r="R12" s="701" t="s">
        <v>14</v>
      </c>
      <c r="S12" s="702">
        <f t="shared" si="0"/>
        <v>100</v>
      </c>
      <c r="T12" s="701" t="s">
        <v>14</v>
      </c>
      <c r="U12" s="702">
        <f t="shared" si="1"/>
        <v>100</v>
      </c>
      <c r="V12" s="701" t="s">
        <v>14</v>
      </c>
      <c r="W12" s="702">
        <f t="shared" si="2"/>
        <v>100</v>
      </c>
      <c r="X12" s="703"/>
      <c r="Y12" s="3667"/>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06"/>
      <c r="Q13" s="1343">
        <f t="shared" si="6"/>
        <v>111</v>
      </c>
      <c r="R13" s="701" t="s">
        <v>14</v>
      </c>
      <c r="S13" s="702">
        <f t="shared" si="0"/>
        <v>100</v>
      </c>
      <c r="T13" s="701" t="s">
        <v>14</v>
      </c>
      <c r="U13" s="702">
        <f t="shared" si="1"/>
        <v>100</v>
      </c>
      <c r="V13" s="701" t="s">
        <v>14</v>
      </c>
      <c r="W13" s="702">
        <f t="shared" si="2"/>
        <v>100</v>
      </c>
      <c r="X13" s="703"/>
      <c r="Y13" s="3667"/>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06"/>
      <c r="Q14" s="1343">
        <f t="shared" si="6"/>
        <v>111</v>
      </c>
      <c r="R14" s="701" t="s">
        <v>14</v>
      </c>
      <c r="S14" s="702">
        <f t="shared" si="0"/>
        <v>100</v>
      </c>
      <c r="T14" s="701" t="s">
        <v>14</v>
      </c>
      <c r="U14" s="702">
        <f t="shared" si="1"/>
        <v>100</v>
      </c>
      <c r="V14" s="701" t="s">
        <v>14</v>
      </c>
      <c r="W14" s="702">
        <f t="shared" si="2"/>
        <v>100</v>
      </c>
      <c r="X14" s="703"/>
      <c r="Y14" s="3667"/>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1"/>
      <c r="P15" s="3813" t="s">
        <v>1686</v>
      </c>
      <c r="Q15" s="1352" t="str">
        <f t="shared" si="6"/>
        <v>居住社区成熟度</v>
      </c>
      <c r="R15" s="705" t="s">
        <v>14</v>
      </c>
      <c r="S15" s="706">
        <f t="shared" si="0"/>
        <v>100</v>
      </c>
      <c r="T15" s="705" t="s">
        <v>14</v>
      </c>
      <c r="U15" s="706">
        <f t="shared" si="1"/>
        <v>100</v>
      </c>
      <c r="V15" s="705" t="s">
        <v>14</v>
      </c>
      <c r="W15" s="706">
        <f t="shared" si="2"/>
        <v>100</v>
      </c>
      <c r="X15" s="1355"/>
      <c r="Y15" s="3813" t="s">
        <v>1686</v>
      </c>
      <c r="Z15" s="1356" t="str">
        <f t="shared" si="7"/>
        <v>居住社区成熟度</v>
      </c>
      <c r="AA15" s="1353">
        <f t="shared" si="3"/>
        <v>1</v>
      </c>
      <c r="AB15" s="1353">
        <f t="shared" si="4"/>
        <v>1</v>
      </c>
      <c r="AC15" s="1353">
        <f t="shared" si="5"/>
        <v>1</v>
      </c>
    </row>
    <row r="16" spans="1:30" ht="15">
      <c r="A16" s="379"/>
      <c r="B16" s="397"/>
      <c r="C16" s="398" t="s">
        <v>3509</v>
      </c>
      <c r="D16" s="399"/>
      <c r="E16" s="398" t="s">
        <v>3509</v>
      </c>
      <c r="F16" s="399"/>
      <c r="G16" s="398" t="s">
        <v>3509</v>
      </c>
      <c r="H16" s="401"/>
      <c r="I16" s="398" t="s">
        <v>3509</v>
      </c>
      <c r="J16" s="399"/>
      <c r="K16" s="620"/>
      <c r="L16" s="2719"/>
      <c r="M16" s="2713"/>
      <c r="N16" s="2713"/>
      <c r="O16" s="2771"/>
      <c r="P16" s="3814"/>
      <c r="Q16" s="1352"/>
      <c r="R16" s="705"/>
      <c r="S16" s="706"/>
      <c r="T16" s="705"/>
      <c r="U16" s="706"/>
      <c r="V16" s="705"/>
      <c r="W16" s="706"/>
      <c r="X16" s="1355"/>
      <c r="Y16" s="3814"/>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9"/>
      <c r="M17" s="2713"/>
      <c r="N17" s="2713"/>
      <c r="O17" s="2771"/>
      <c r="P17" s="3814"/>
      <c r="Q17" s="1352" t="str">
        <f>B17</f>
        <v>商业繁华度</v>
      </c>
      <c r="R17" s="705" t="s">
        <v>14</v>
      </c>
      <c r="S17" s="706">
        <f>F17</f>
        <v>100</v>
      </c>
      <c r="T17" s="705" t="s">
        <v>14</v>
      </c>
      <c r="U17" s="706">
        <f>H17</f>
        <v>100</v>
      </c>
      <c r="V17" s="705" t="s">
        <v>14</v>
      </c>
      <c r="W17" s="706">
        <f>J17</f>
        <v>100</v>
      </c>
      <c r="X17" s="1355"/>
      <c r="Y17" s="3814"/>
      <c r="Z17" s="1356" t="str">
        <f>Q17</f>
        <v>商业繁华度</v>
      </c>
      <c r="AA17" s="1353">
        <f t="shared" si="3"/>
        <v>1</v>
      </c>
      <c r="AB17" s="1353">
        <f t="shared" si="4"/>
        <v>1</v>
      </c>
      <c r="AC17" s="1353">
        <f t="shared" si="5"/>
        <v>1</v>
      </c>
    </row>
    <row r="18" spans="1:29" ht="15">
      <c r="A18" s="379"/>
      <c r="B18" s="407"/>
      <c r="C18" s="398" t="s">
        <v>3509</v>
      </c>
      <c r="D18" s="401"/>
      <c r="E18" s="398" t="s">
        <v>3509</v>
      </c>
      <c r="F18" s="401"/>
      <c r="G18" s="398" t="s">
        <v>3509</v>
      </c>
      <c r="H18" s="399"/>
      <c r="I18" s="398" t="s">
        <v>3509</v>
      </c>
      <c r="J18" s="399"/>
      <c r="K18" s="620"/>
      <c r="L18" s="2719"/>
      <c r="M18" s="2713"/>
      <c r="N18" s="2713"/>
      <c r="O18" s="2771"/>
      <c r="P18" s="3814"/>
      <c r="Q18" s="1352"/>
      <c r="R18" s="705"/>
      <c r="S18" s="706"/>
      <c r="T18" s="705"/>
      <c r="U18" s="706"/>
      <c r="V18" s="705"/>
      <c r="W18" s="706"/>
      <c r="X18" s="1355"/>
      <c r="Y18" s="3814"/>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1"/>
      <c r="P19" s="3814"/>
      <c r="Q19" s="1352" t="str">
        <f>B19</f>
        <v>办公集聚程度</v>
      </c>
      <c r="R19" s="705" t="s">
        <v>14</v>
      </c>
      <c r="S19" s="706">
        <f>F19</f>
        <v>100</v>
      </c>
      <c r="T19" s="705" t="s">
        <v>14</v>
      </c>
      <c r="U19" s="706">
        <f>H19</f>
        <v>100</v>
      </c>
      <c r="V19" s="705" t="s">
        <v>14</v>
      </c>
      <c r="W19" s="706">
        <f>J19</f>
        <v>100</v>
      </c>
      <c r="X19" s="1355"/>
      <c r="Y19" s="3814"/>
      <c r="Z19" s="1356" t="str">
        <f>Q19</f>
        <v>办公集聚程度</v>
      </c>
      <c r="AA19" s="1353">
        <f t="shared" si="3"/>
        <v>1</v>
      </c>
      <c r="AB19" s="1353">
        <f t="shared" si="4"/>
        <v>1</v>
      </c>
      <c r="AC19" s="1353">
        <f t="shared" si="5"/>
        <v>1</v>
      </c>
    </row>
    <row r="20" spans="1:29" ht="15">
      <c r="A20" s="379"/>
      <c r="B20" s="407"/>
      <c r="C20" s="398" t="s">
        <v>3509</v>
      </c>
      <c r="D20" s="399"/>
      <c r="E20" s="398" t="s">
        <v>3509</v>
      </c>
      <c r="F20" s="399"/>
      <c r="G20" s="398" t="s">
        <v>3509</v>
      </c>
      <c r="H20" s="399"/>
      <c r="I20" s="398" t="s">
        <v>3509</v>
      </c>
      <c r="J20" s="399"/>
      <c r="K20" s="620"/>
      <c r="L20" s="2719"/>
      <c r="M20" s="2713"/>
      <c r="N20" s="2713"/>
      <c r="O20" s="2771"/>
      <c r="P20" s="3814"/>
      <c r="Q20" s="1352"/>
      <c r="R20" s="705"/>
      <c r="S20" s="706"/>
      <c r="T20" s="705"/>
      <c r="U20" s="706"/>
      <c r="V20" s="705"/>
      <c r="W20" s="706"/>
      <c r="X20" s="1355"/>
      <c r="Y20" s="3814"/>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2</v>
      </c>
      <c r="L21" s="2719"/>
      <c r="M21" s="2713"/>
      <c r="N21" s="2713"/>
      <c r="O21" s="2771"/>
      <c r="P21" s="3814"/>
      <c r="Q21" s="1352" t="str">
        <f>B21</f>
        <v>交通便捷度</v>
      </c>
      <c r="R21" s="705" t="s">
        <v>14</v>
      </c>
      <c r="S21" s="706">
        <f>F21</f>
        <v>100</v>
      </c>
      <c r="T21" s="705" t="s">
        <v>14</v>
      </c>
      <c r="U21" s="706">
        <f>H21</f>
        <v>100</v>
      </c>
      <c r="V21" s="705" t="s">
        <v>14</v>
      </c>
      <c r="W21" s="706">
        <f>J21</f>
        <v>100</v>
      </c>
      <c r="X21" s="1355"/>
      <c r="Y21" s="3814"/>
      <c r="Z21" s="1356" t="str">
        <f>Q21</f>
        <v>交通便捷度</v>
      </c>
      <c r="AA21" s="1353">
        <f t="shared" si="3"/>
        <v>1</v>
      </c>
      <c r="AB21" s="1353">
        <f t="shared" si="4"/>
        <v>1</v>
      </c>
      <c r="AC21" s="1353">
        <f t="shared" si="5"/>
        <v>1</v>
      </c>
    </row>
    <row r="22" spans="1:29" ht="15">
      <c r="A22" s="379"/>
      <c r="B22" s="1131"/>
      <c r="C22" s="398" t="s">
        <v>3509</v>
      </c>
      <c r="D22" s="401"/>
      <c r="E22" s="398" t="s">
        <v>3509</v>
      </c>
      <c r="F22" s="399"/>
      <c r="G22" s="398" t="s">
        <v>3509</v>
      </c>
      <c r="H22" s="399"/>
      <c r="I22" s="398" t="s">
        <v>3509</v>
      </c>
      <c r="J22" s="399"/>
      <c r="K22" s="620"/>
      <c r="L22" s="2719"/>
      <c r="M22" s="2713"/>
      <c r="N22" s="2713"/>
      <c r="O22" s="2771"/>
      <c r="P22" s="3814"/>
      <c r="Q22" s="1352"/>
      <c r="R22" s="705"/>
      <c r="S22" s="706"/>
      <c r="T22" s="705"/>
      <c r="U22" s="706"/>
      <c r="V22" s="705"/>
      <c r="W22" s="706"/>
      <c r="X22" s="1355"/>
      <c r="Y22" s="3814"/>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1"/>
      <c r="P23" s="3814"/>
      <c r="Q23" s="1352" t="str">
        <f t="shared" ref="Q23:Q37" si="8">B23</f>
        <v>区域土地利用方向</v>
      </c>
      <c r="R23" s="705" t="s">
        <v>14</v>
      </c>
      <c r="S23" s="706">
        <f>F23</f>
        <v>100</v>
      </c>
      <c r="T23" s="705" t="s">
        <v>14</v>
      </c>
      <c r="U23" s="706">
        <f>H23</f>
        <v>100</v>
      </c>
      <c r="V23" s="705" t="s">
        <v>14</v>
      </c>
      <c r="W23" s="706">
        <f>J23</f>
        <v>100</v>
      </c>
      <c r="X23" s="1355"/>
      <c r="Y23" s="3814"/>
      <c r="Z23" s="1356" t="str">
        <f>Q23</f>
        <v>区域土地利用方向</v>
      </c>
      <c r="AA23" s="1353">
        <f t="shared" si="3"/>
        <v>1</v>
      </c>
      <c r="AB23" s="1353">
        <f t="shared" si="4"/>
        <v>1</v>
      </c>
      <c r="AC23" s="1353">
        <f t="shared" si="5"/>
        <v>1</v>
      </c>
    </row>
    <row r="24" spans="1:29" ht="15">
      <c r="A24" s="358"/>
      <c r="B24" s="407"/>
      <c r="C24" s="398" t="s">
        <v>3509</v>
      </c>
      <c r="D24" s="399"/>
      <c r="E24" s="398" t="s">
        <v>3509</v>
      </c>
      <c r="F24" s="399"/>
      <c r="G24" s="398" t="s">
        <v>3509</v>
      </c>
      <c r="H24" s="399"/>
      <c r="I24" s="398" t="s">
        <v>3509</v>
      </c>
      <c r="J24" s="399"/>
      <c r="K24" s="740"/>
      <c r="L24" s="2719"/>
      <c r="M24" s="2713"/>
      <c r="N24" s="2713"/>
      <c r="O24" s="2771"/>
      <c r="P24" s="3814"/>
      <c r="Q24" s="1352"/>
      <c r="R24" s="705"/>
      <c r="S24" s="706"/>
      <c r="T24" s="705"/>
      <c r="U24" s="706"/>
      <c r="V24" s="705"/>
      <c r="W24" s="706"/>
      <c r="X24" s="1355"/>
      <c r="Y24" s="3814"/>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9"/>
      <c r="M25" s="2713"/>
      <c r="N25" s="2713"/>
      <c r="O25" s="2771"/>
      <c r="P25" s="3814"/>
      <c r="Q25" s="1352" t="str">
        <f t="shared" si="8"/>
        <v>自然及人文环境状况</v>
      </c>
      <c r="R25" s="705" t="s">
        <v>14</v>
      </c>
      <c r="S25" s="706">
        <f>F25</f>
        <v>100</v>
      </c>
      <c r="T25" s="705" t="s">
        <v>14</v>
      </c>
      <c r="U25" s="706">
        <f>H25</f>
        <v>100</v>
      </c>
      <c r="V25" s="705" t="s">
        <v>14</v>
      </c>
      <c r="W25" s="706">
        <f>J25</f>
        <v>100</v>
      </c>
      <c r="X25" s="1355"/>
      <c r="Y25" s="3814"/>
      <c r="Z25" s="1356" t="str">
        <f>Q25</f>
        <v>自然及人文环境状况</v>
      </c>
      <c r="AA25" s="1353">
        <f t="shared" si="3"/>
        <v>1</v>
      </c>
      <c r="AB25" s="1353">
        <f t="shared" si="4"/>
        <v>1</v>
      </c>
      <c r="AC25" s="1353">
        <f t="shared" si="5"/>
        <v>1</v>
      </c>
    </row>
    <row r="26" spans="1:29" ht="15">
      <c r="A26" s="358"/>
      <c r="B26" s="407"/>
      <c r="C26" s="398" t="s">
        <v>3509</v>
      </c>
      <c r="D26" s="399"/>
      <c r="E26" s="398" t="s">
        <v>3509</v>
      </c>
      <c r="F26" s="399"/>
      <c r="G26" s="398" t="s">
        <v>3509</v>
      </c>
      <c r="H26" s="399"/>
      <c r="I26" s="398" t="s">
        <v>3509</v>
      </c>
      <c r="J26" s="399"/>
      <c r="K26" s="620"/>
      <c r="L26" s="2719"/>
      <c r="M26" s="2713"/>
      <c r="N26" s="2713"/>
      <c r="O26" s="2771"/>
      <c r="P26" s="3814"/>
      <c r="Q26" s="1352"/>
      <c r="R26" s="705"/>
      <c r="S26" s="706"/>
      <c r="T26" s="705"/>
      <c r="U26" s="706"/>
      <c r="V26" s="705"/>
      <c r="W26" s="706"/>
      <c r="X26" s="1355"/>
      <c r="Y26" s="3814"/>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4"/>
      <c r="M27" s="2715"/>
      <c r="N27" s="2715"/>
      <c r="O27" s="2769"/>
      <c r="P27" s="3814"/>
      <c r="Q27" s="1343" t="str">
        <f t="shared" si="8"/>
        <v>公共配套设施</v>
      </c>
      <c r="R27" s="701" t="s">
        <v>14</v>
      </c>
      <c r="S27" s="702">
        <f>F27</f>
        <v>100</v>
      </c>
      <c r="T27" s="701" t="s">
        <v>14</v>
      </c>
      <c r="U27" s="702">
        <f>H27</f>
        <v>100</v>
      </c>
      <c r="V27" s="701" t="s">
        <v>14</v>
      </c>
      <c r="W27" s="702">
        <f>J27</f>
        <v>100</v>
      </c>
      <c r="X27" s="703"/>
      <c r="Y27" s="3814"/>
      <c r="Z27" s="52" t="str">
        <f>Q27</f>
        <v>公共配套设施</v>
      </c>
      <c r="AA27" s="1353">
        <f>D27/F27</f>
        <v>1</v>
      </c>
      <c r="AB27" s="1353">
        <f>D27/H27</f>
        <v>1</v>
      </c>
      <c r="AC27" s="1353">
        <f>D27/J27</f>
        <v>1</v>
      </c>
    </row>
    <row r="28" spans="1:29" s="108" customFormat="1" ht="15">
      <c r="A28" s="597"/>
      <c r="B28" s="407"/>
      <c r="C28" s="398" t="s">
        <v>3509</v>
      </c>
      <c r="D28" s="399"/>
      <c r="E28" s="398" t="s">
        <v>3509</v>
      </c>
      <c r="F28" s="399"/>
      <c r="G28" s="398" t="s">
        <v>3509</v>
      </c>
      <c r="H28" s="399"/>
      <c r="I28" s="398" t="s">
        <v>3509</v>
      </c>
      <c r="J28" s="399"/>
      <c r="K28" s="620"/>
      <c r="L28" s="2714"/>
      <c r="M28" s="2715"/>
      <c r="N28" s="2715"/>
      <c r="O28" s="2769"/>
      <c r="P28" s="3814"/>
      <c r="Q28" s="1343"/>
      <c r="R28" s="701"/>
      <c r="S28" s="702"/>
      <c r="T28" s="701"/>
      <c r="U28" s="702"/>
      <c r="V28" s="701"/>
      <c r="W28" s="702"/>
      <c r="X28" s="703"/>
      <c r="Y28" s="3814"/>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4"/>
      <c r="M29" s="2715"/>
      <c r="N29" s="2715"/>
      <c r="O29" s="2769"/>
      <c r="P29" s="3814"/>
      <c r="Q29" s="1343" t="str">
        <f t="shared" ref="Q29" si="9">B29</f>
        <v>基础设施水平</v>
      </c>
      <c r="R29" s="701" t="s">
        <v>14</v>
      </c>
      <c r="S29" s="702">
        <f>F29</f>
        <v>100</v>
      </c>
      <c r="T29" s="701" t="s">
        <v>14</v>
      </c>
      <c r="U29" s="702">
        <f>H29</f>
        <v>100</v>
      </c>
      <c r="V29" s="701" t="s">
        <v>14</v>
      </c>
      <c r="W29" s="702">
        <f>J29</f>
        <v>100</v>
      </c>
      <c r="X29" s="703"/>
      <c r="Y29" s="3814"/>
      <c r="Z29" s="52" t="str">
        <f>Q29</f>
        <v>基础设施水平</v>
      </c>
      <c r="AA29" s="1353">
        <f>D29/F29</f>
        <v>1</v>
      </c>
      <c r="AB29" s="1353">
        <f>D29/H29</f>
        <v>1</v>
      </c>
      <c r="AC29" s="1353">
        <f>D29/J29</f>
        <v>1</v>
      </c>
    </row>
    <row r="30" spans="1:29" s="108" customFormat="1" ht="15">
      <c r="A30" s="597"/>
      <c r="B30" s="407"/>
      <c r="C30" s="1976" t="s">
        <v>3512</v>
      </c>
      <c r="D30" s="399"/>
      <c r="E30" s="1976" t="s">
        <v>3512</v>
      </c>
      <c r="F30" s="399"/>
      <c r="G30" s="1976" t="s">
        <v>3512</v>
      </c>
      <c r="H30" s="399"/>
      <c r="I30" s="1976" t="s">
        <v>3512</v>
      </c>
      <c r="J30" s="399"/>
      <c r="K30" s="620"/>
      <c r="L30" s="2714"/>
      <c r="M30" s="2715"/>
      <c r="N30" s="2715"/>
      <c r="O30" s="2769"/>
      <c r="P30" s="3814"/>
      <c r="Q30" s="1343"/>
      <c r="R30" s="701"/>
      <c r="S30" s="702"/>
      <c r="T30" s="701"/>
      <c r="U30" s="702"/>
      <c r="V30" s="701"/>
      <c r="W30" s="702"/>
      <c r="X30" s="703"/>
      <c r="Y30" s="3814"/>
      <c r="Z30" s="52"/>
      <c r="AA30" s="1353">
        <v>1</v>
      </c>
      <c r="AB30" s="1353">
        <v>1</v>
      </c>
      <c r="AC30" s="1353">
        <v>1</v>
      </c>
    </row>
    <row r="31" spans="1:29" ht="15.75" thickBot="1">
      <c r="A31" s="379"/>
      <c r="B31" s="407" t="s">
        <v>1772</v>
      </c>
      <c r="C31" s="565" t="s">
        <v>3694</v>
      </c>
      <c r="D31" s="386">
        <v>100</v>
      </c>
      <c r="E31" s="565" t="s">
        <v>3694</v>
      </c>
      <c r="F31" s="386">
        <f>SUMIF(103:103,E31,104:104)-SUMIF(103:103,C31,104:104)+100</f>
        <v>100</v>
      </c>
      <c r="G31" s="565" t="s">
        <v>3694</v>
      </c>
      <c r="H31" s="386">
        <f>SUMIF(103:103,G31,104:104)-SUMIF(103:103,C31,104:104)+100</f>
        <v>100</v>
      </c>
      <c r="I31" s="565" t="s">
        <v>3694</v>
      </c>
      <c r="J31" s="386">
        <f>SUMIF(103:103,I31,104:104)-SUMIF(103:103,C31,104:104)+100</f>
        <v>100</v>
      </c>
      <c r="K31" s="621"/>
      <c r="L31" s="2719"/>
      <c r="M31" s="2713"/>
      <c r="N31" s="2713"/>
      <c r="O31" s="2771"/>
      <c r="P31" s="38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14"/>
      <c r="Z31" s="1356" t="str">
        <f t="shared" ref="Z31:Z45" si="13">Q31</f>
        <v>临街状况</v>
      </c>
      <c r="AA31" s="1353">
        <f t="shared" si="3"/>
        <v>1</v>
      </c>
      <c r="AB31" s="1353">
        <f t="shared" si="4"/>
        <v>1</v>
      </c>
      <c r="AC31" s="1353">
        <f t="shared" si="5"/>
        <v>1</v>
      </c>
    </row>
    <row r="32" spans="1:29" ht="27" hidden="1">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14"/>
      <c r="Q32" s="1352" t="str">
        <f t="shared" si="8"/>
        <v>毗邻道路的类型与等级</v>
      </c>
      <c r="R32" s="705" t="s">
        <v>14</v>
      </c>
      <c r="S32" s="706">
        <f t="shared" si="10"/>
        <v>100</v>
      </c>
      <c r="T32" s="705" t="s">
        <v>14</v>
      </c>
      <c r="U32" s="706">
        <f t="shared" si="11"/>
        <v>100</v>
      </c>
      <c r="V32" s="705" t="s">
        <v>14</v>
      </c>
      <c r="W32" s="706">
        <f t="shared" si="12"/>
        <v>100</v>
      </c>
      <c r="X32" s="1355"/>
      <c r="Y32" s="3814"/>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19"/>
      <c r="M33" s="2713"/>
      <c r="N33" s="2713"/>
      <c r="O33" s="2771"/>
      <c r="P33" s="3814"/>
      <c r="Q33" s="1352"/>
      <c r="R33" s="705"/>
      <c r="S33" s="706"/>
      <c r="T33" s="705"/>
      <c r="U33" s="706"/>
      <c r="V33" s="705"/>
      <c r="W33" s="706"/>
      <c r="X33" s="1355"/>
      <c r="Y33" s="3814"/>
      <c r="Z33" s="1356"/>
      <c r="AA33" s="1353">
        <v>1</v>
      </c>
      <c r="AB33" s="1353">
        <v>1</v>
      </c>
      <c r="AC33" s="1353">
        <v>1</v>
      </c>
    </row>
    <row r="34" spans="1:29" ht="15" hidden="1">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14"/>
      <c r="Q34" s="1352" t="str">
        <f t="shared" si="8"/>
        <v>土地级别</v>
      </c>
      <c r="R34" s="705" t="s">
        <v>14</v>
      </c>
      <c r="S34" s="706">
        <f t="shared" si="10"/>
        <v>100</v>
      </c>
      <c r="T34" s="705" t="s">
        <v>14</v>
      </c>
      <c r="U34" s="706">
        <f t="shared" si="11"/>
        <v>100</v>
      </c>
      <c r="V34" s="705" t="s">
        <v>14</v>
      </c>
      <c r="W34" s="706">
        <f t="shared" si="12"/>
        <v>100</v>
      </c>
      <c r="X34" s="1355"/>
      <c r="Y34" s="3814"/>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14"/>
      <c r="Q35" s="1352">
        <f t="shared" si="8"/>
        <v>111</v>
      </c>
      <c r="R35" s="705" t="s">
        <v>14</v>
      </c>
      <c r="S35" s="706">
        <f t="shared" si="10"/>
        <v>100</v>
      </c>
      <c r="T35" s="705" t="s">
        <v>14</v>
      </c>
      <c r="U35" s="706">
        <f t="shared" si="11"/>
        <v>100</v>
      </c>
      <c r="V35" s="705" t="s">
        <v>14</v>
      </c>
      <c r="W35" s="706">
        <f t="shared" si="12"/>
        <v>100</v>
      </c>
      <c r="X35" s="1355"/>
      <c r="Y35" s="3814"/>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3" t="s">
        <v>1691</v>
      </c>
      <c r="Q36" s="1352">
        <f t="shared" si="8"/>
        <v>111</v>
      </c>
      <c r="R36" s="705" t="s">
        <v>14</v>
      </c>
      <c r="S36" s="706">
        <f t="shared" si="10"/>
        <v>100</v>
      </c>
      <c r="T36" s="705" t="s">
        <v>14</v>
      </c>
      <c r="U36" s="706">
        <f t="shared" si="11"/>
        <v>100</v>
      </c>
      <c r="V36" s="705" t="s">
        <v>14</v>
      </c>
      <c r="W36" s="706">
        <f t="shared" si="12"/>
        <v>100</v>
      </c>
      <c r="X36" s="1355"/>
      <c r="Y36" s="3818" t="s">
        <v>1691</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18"/>
      <c r="Q37" s="1352">
        <f t="shared" si="8"/>
        <v>111</v>
      </c>
      <c r="R37" s="708" t="s">
        <v>14</v>
      </c>
      <c r="S37" s="709">
        <f t="shared" si="10"/>
        <v>100</v>
      </c>
      <c r="T37" s="708" t="s">
        <v>14</v>
      </c>
      <c r="U37" s="709">
        <f t="shared" si="11"/>
        <v>100</v>
      </c>
      <c r="V37" s="708" t="s">
        <v>14</v>
      </c>
      <c r="W37" s="709">
        <f t="shared" si="12"/>
        <v>100</v>
      </c>
      <c r="X37" s="710"/>
      <c r="Y37" s="3818"/>
      <c r="Z37" s="711">
        <f t="shared" si="13"/>
        <v>111</v>
      </c>
      <c r="AA37" s="1353">
        <f t="shared" si="3"/>
        <v>1</v>
      </c>
      <c r="AB37" s="1353">
        <f t="shared" si="4"/>
        <v>1</v>
      </c>
      <c r="AC37" s="1353">
        <f t="shared" si="5"/>
        <v>1</v>
      </c>
    </row>
    <row r="38" spans="1:29" ht="15">
      <c r="A38" s="423" t="s">
        <v>1689</v>
      </c>
      <c r="B38" s="407" t="s">
        <v>1866</v>
      </c>
      <c r="C38" s="627">
        <v>4.5</v>
      </c>
      <c r="D38" s="418">
        <v>100</v>
      </c>
      <c r="E38" s="627">
        <v>4.5</v>
      </c>
      <c r="F38" s="418">
        <f>LOOKUP(E38,116:116,117:117)-LOOKUP(C38,116:116,117:117)+100</f>
        <v>100</v>
      </c>
      <c r="G38" s="627">
        <v>4.5</v>
      </c>
      <c r="H38" s="418">
        <f>LOOKUP(G38,116:116,117:117)-LOOKUP(C38,116:116,117:117)+100</f>
        <v>100</v>
      </c>
      <c r="I38" s="479">
        <v>4.5</v>
      </c>
      <c r="J38" s="418">
        <f>LOOKUP(I38,116:116,117:117)-LOOKUP(C38,116:116,117:117)+100</f>
        <v>100</v>
      </c>
      <c r="K38" s="562"/>
      <c r="L38" s="2719"/>
      <c r="M38" s="2713"/>
      <c r="N38" s="2713"/>
      <c r="O38" s="2771"/>
      <c r="P38" s="3818"/>
      <c r="Q38" s="1352" t="str">
        <f>B38</f>
        <v>宗地面积</v>
      </c>
      <c r="R38" s="705" t="s">
        <v>14</v>
      </c>
      <c r="S38" s="706">
        <f t="shared" si="10"/>
        <v>100</v>
      </c>
      <c r="T38" s="705" t="s">
        <v>14</v>
      </c>
      <c r="U38" s="706">
        <f t="shared" si="11"/>
        <v>100</v>
      </c>
      <c r="V38" s="705" t="s">
        <v>14</v>
      </c>
      <c r="W38" s="706">
        <f t="shared" si="12"/>
        <v>100</v>
      </c>
      <c r="X38" s="1355"/>
      <c r="Y38" s="3818"/>
      <c r="Z38" s="1356" t="str">
        <f t="shared" si="13"/>
        <v>宗地面积</v>
      </c>
      <c r="AA38" s="1353">
        <f t="shared" si="3"/>
        <v>1</v>
      </c>
      <c r="AB38" s="1353">
        <f t="shared" si="4"/>
        <v>1</v>
      </c>
      <c r="AC38" s="1353">
        <f t="shared" si="5"/>
        <v>1</v>
      </c>
    </row>
    <row r="39" spans="1:29" ht="15">
      <c r="A39" s="423"/>
      <c r="B39" s="375" t="s">
        <v>1867</v>
      </c>
      <c r="C39" s="1906" t="s">
        <v>3695</v>
      </c>
      <c r="D39" s="386">
        <v>100</v>
      </c>
      <c r="E39" s="1906" t="s">
        <v>3695</v>
      </c>
      <c r="F39" s="386">
        <f>SUMIF(118:118,E39,119:119)-SUMIF(118:118,C39,119:119)+100</f>
        <v>100</v>
      </c>
      <c r="G39" s="1906" t="s">
        <v>3695</v>
      </c>
      <c r="H39" s="386">
        <f>SUMIF(118:118,G39,119:119)-SUMIF(118:118,C39,119:119)+100</f>
        <v>100</v>
      </c>
      <c r="I39" s="1906" t="s">
        <v>3695</v>
      </c>
      <c r="J39" s="386">
        <f>SUMIF(118:118,I39,119:119)-SUMIF(118:118,C39,119:119)+100</f>
        <v>100</v>
      </c>
      <c r="K39" s="561"/>
      <c r="L39" s="2719"/>
      <c r="M39" s="2713"/>
      <c r="N39" s="2713"/>
      <c r="O39" s="2771"/>
      <c r="P39" s="3818"/>
      <c r="Q39" s="1352" t="str">
        <f t="shared" ref="Q39:Q45" si="14">B39</f>
        <v>宗地形状</v>
      </c>
      <c r="R39" s="705" t="s">
        <v>14</v>
      </c>
      <c r="S39" s="706">
        <f t="shared" si="10"/>
        <v>100</v>
      </c>
      <c r="T39" s="705" t="s">
        <v>14</v>
      </c>
      <c r="U39" s="706">
        <f t="shared" si="11"/>
        <v>100</v>
      </c>
      <c r="V39" s="705" t="s">
        <v>14</v>
      </c>
      <c r="W39" s="706">
        <f t="shared" si="12"/>
        <v>100</v>
      </c>
      <c r="X39" s="1355"/>
      <c r="Y39" s="3818"/>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18"/>
      <c r="Q40" s="1352" t="str">
        <f t="shared" si="14"/>
        <v>临街宽度及深度</v>
      </c>
      <c r="R40" s="705" t="s">
        <v>14</v>
      </c>
      <c r="S40" s="706">
        <f t="shared" si="10"/>
        <v>100</v>
      </c>
      <c r="T40" s="705" t="s">
        <v>14</v>
      </c>
      <c r="U40" s="706">
        <f t="shared" si="11"/>
        <v>100</v>
      </c>
      <c r="V40" s="705" t="s">
        <v>14</v>
      </c>
      <c r="W40" s="706">
        <f t="shared" si="12"/>
        <v>100</v>
      </c>
      <c r="X40" s="1355"/>
      <c r="Y40" s="3818"/>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18"/>
      <c r="Q41" s="1352" t="str">
        <f t="shared" si="14"/>
        <v>宗地开发程度</v>
      </c>
      <c r="R41" s="701" t="s">
        <v>14</v>
      </c>
      <c r="S41" s="702">
        <f t="shared" si="10"/>
        <v>100</v>
      </c>
      <c r="T41" s="701" t="s">
        <v>14</v>
      </c>
      <c r="U41" s="702">
        <f t="shared" si="11"/>
        <v>100</v>
      </c>
      <c r="V41" s="701" t="s">
        <v>14</v>
      </c>
      <c r="W41" s="702">
        <f t="shared" si="12"/>
        <v>100</v>
      </c>
      <c r="X41" s="703"/>
      <c r="Y41" s="3818"/>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18" t="s">
        <v>1691</v>
      </c>
      <c r="Q42" s="1352" t="str">
        <f t="shared" si="14"/>
        <v>工程地质条件</v>
      </c>
      <c r="R42" s="705" t="s">
        <v>14</v>
      </c>
      <c r="S42" s="706">
        <f t="shared" si="10"/>
        <v>100</v>
      </c>
      <c r="T42" s="705" t="s">
        <v>14</v>
      </c>
      <c r="U42" s="706">
        <f t="shared" si="11"/>
        <v>100</v>
      </c>
      <c r="V42" s="705" t="s">
        <v>14</v>
      </c>
      <c r="W42" s="706">
        <f t="shared" si="12"/>
        <v>100</v>
      </c>
      <c r="X42" s="1355"/>
      <c r="Y42" s="3818"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18"/>
      <c r="Q43" s="1352">
        <f t="shared" si="14"/>
        <v>111</v>
      </c>
      <c r="R43" s="705" t="s">
        <v>14</v>
      </c>
      <c r="S43" s="706">
        <f t="shared" si="10"/>
        <v>100</v>
      </c>
      <c r="T43" s="705" t="s">
        <v>14</v>
      </c>
      <c r="U43" s="706">
        <f t="shared" si="11"/>
        <v>100</v>
      </c>
      <c r="V43" s="705" t="s">
        <v>14</v>
      </c>
      <c r="W43" s="706">
        <f t="shared" si="12"/>
        <v>100</v>
      </c>
      <c r="X43" s="1355"/>
      <c r="Y43" s="38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18"/>
      <c r="Q44" s="1352">
        <f t="shared" si="14"/>
        <v>111</v>
      </c>
      <c r="R44" s="705" t="s">
        <v>14</v>
      </c>
      <c r="S44" s="706">
        <f t="shared" si="10"/>
        <v>100</v>
      </c>
      <c r="T44" s="705" t="s">
        <v>14</v>
      </c>
      <c r="U44" s="706">
        <f t="shared" si="11"/>
        <v>100</v>
      </c>
      <c r="V44" s="705" t="s">
        <v>14</v>
      </c>
      <c r="W44" s="706">
        <f t="shared" si="12"/>
        <v>100</v>
      </c>
      <c r="X44" s="1355"/>
      <c r="Y44" s="3818"/>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18"/>
      <c r="Q45" s="1352">
        <f t="shared" si="14"/>
        <v>111</v>
      </c>
      <c r="R45" s="708" t="s">
        <v>14</v>
      </c>
      <c r="S45" s="709">
        <f t="shared" si="10"/>
        <v>100</v>
      </c>
      <c r="T45" s="708" t="s">
        <v>14</v>
      </c>
      <c r="U45" s="709">
        <f t="shared" si="11"/>
        <v>100</v>
      </c>
      <c r="V45" s="708" t="s">
        <v>14</v>
      </c>
      <c r="W45" s="709">
        <f t="shared" si="12"/>
        <v>100</v>
      </c>
      <c r="X45" s="710"/>
      <c r="Y45" s="3818"/>
      <c r="Z45" s="711">
        <f t="shared" si="13"/>
        <v>111</v>
      </c>
      <c r="AA45" s="1353">
        <f t="shared" si="3"/>
        <v>1</v>
      </c>
      <c r="AB45" s="1353">
        <f t="shared" si="4"/>
        <v>1</v>
      </c>
      <c r="AC45" s="1353">
        <f t="shared" si="5"/>
        <v>1</v>
      </c>
    </row>
    <row r="46" spans="1:29" ht="15">
      <c r="A46" s="430" t="s">
        <v>1836</v>
      </c>
      <c r="B46" s="1980" t="s">
        <v>1871</v>
      </c>
      <c r="C46" s="630" t="s">
        <v>0</v>
      </c>
      <c r="D46" s="432"/>
      <c r="E46" s="433">
        <v>300</v>
      </c>
      <c r="F46" s="434"/>
      <c r="G46" s="435">
        <v>300</v>
      </c>
      <c r="H46" s="436"/>
      <c r="I46" s="433">
        <v>300</v>
      </c>
      <c r="J46" s="436"/>
      <c r="K46" s="714"/>
      <c r="L46" s="2721"/>
      <c r="M46" s="2722"/>
      <c r="N46" s="2713"/>
      <c r="O46" s="2722"/>
      <c r="P46" s="3806" t="str">
        <f>A46</f>
        <v>成交单价</v>
      </c>
      <c r="Q46" s="3806"/>
      <c r="R46" s="3820">
        <f>E46</f>
        <v>300</v>
      </c>
      <c r="S46" s="3820"/>
      <c r="T46" s="3820">
        <f>G46</f>
        <v>300</v>
      </c>
      <c r="U46" s="3820"/>
      <c r="V46" s="3820">
        <f>I46</f>
        <v>300</v>
      </c>
      <c r="W46" s="3820"/>
      <c r="X46" s="690"/>
      <c r="Y46" s="712"/>
      <c r="Z46" s="690"/>
      <c r="AA46" s="690"/>
      <c r="AB46" s="690"/>
      <c r="AC46" s="690"/>
    </row>
    <row r="47" spans="1:29" ht="15.75" thickBot="1">
      <c r="A47" s="437" t="s">
        <v>1785</v>
      </c>
      <c r="B47" s="631"/>
      <c r="C47" s="440">
        <f>R48</f>
        <v>300</v>
      </c>
      <c r="D47" s="2315" t="s">
        <v>2130</v>
      </c>
      <c r="E47" s="440">
        <f>R47</f>
        <v>300</v>
      </c>
      <c r="F47" s="2316"/>
      <c r="G47" s="439">
        <f>T47</f>
        <v>300</v>
      </c>
      <c r="H47" s="2316"/>
      <c r="I47" s="440">
        <f>V47</f>
        <v>300</v>
      </c>
      <c r="J47" s="2316"/>
      <c r="K47" s="2318">
        <f>F47+H47+J47</f>
        <v>0</v>
      </c>
      <c r="L47" s="2721"/>
      <c r="M47" s="2722"/>
      <c r="N47" s="2722"/>
      <c r="O47" s="2722"/>
      <c r="P47" s="3806" t="str">
        <f>A47</f>
        <v>比较价值（元/平方米）</v>
      </c>
      <c r="Q47" s="3806"/>
      <c r="R47" s="3875">
        <f>ROUND(PRODUCT(R46,AA7:AA45),0)</f>
        <v>300</v>
      </c>
      <c r="S47" s="3875"/>
      <c r="T47" s="3875">
        <f>ROUND(PRODUCT(T46,AB7:AB45),0)</f>
        <v>300</v>
      </c>
      <c r="U47" s="3875"/>
      <c r="V47" s="3875">
        <f>ROUND(PRODUCT(V46,AC7:AC45),0)</f>
        <v>300</v>
      </c>
      <c r="W47" s="3875"/>
      <c r="X47" s="690"/>
      <c r="Y47" s="690"/>
      <c r="Z47" s="690"/>
      <c r="AA47" s="690"/>
      <c r="AB47" s="690"/>
      <c r="AC47" s="690"/>
    </row>
    <row r="48" spans="1:29" ht="15.75" thickBot="1">
      <c r="A48" s="441" t="s">
        <v>1872</v>
      </c>
      <c r="B48" s="442"/>
      <c r="C48" s="443">
        <f>R48</f>
        <v>300</v>
      </c>
      <c r="D48" s="443"/>
      <c r="E48" s="443"/>
      <c r="F48" s="443"/>
      <c r="G48" s="443"/>
      <c r="H48" s="443"/>
      <c r="I48" s="443"/>
      <c r="J48" s="443"/>
      <c r="K48" s="715"/>
      <c r="L48" s="2721"/>
      <c r="M48" s="2722"/>
      <c r="N48" s="2722"/>
      <c r="O48" s="2722"/>
      <c r="P48" s="3808" t="str">
        <f>A48</f>
        <v>估价对象XX用房的比较价值（楼面单价，元/平方米）</v>
      </c>
      <c r="Q48" s="3809"/>
      <c r="R48" s="3876">
        <f>ROUND(IF(D47="简单平均",AVERAGE(R47:W47),R47*F47+T47*H47+V47*J47),0)</f>
        <v>300</v>
      </c>
      <c r="S48" s="3876"/>
      <c r="T48" s="3876"/>
      <c r="U48" s="3876"/>
      <c r="V48" s="3876"/>
      <c r="W48" s="387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f>IF(E46&lt;E47,E47/E46-1,E46/E47-1)</f>
        <v>0</v>
      </c>
      <c r="F51" s="449" t="str">
        <f>IF(OR(E51&gt;=0.3,E51&lt;=-0.3),"超过30%","")</f>
        <v/>
      </c>
      <c r="G51" s="448">
        <f>IF(G46&lt;G47,G47/G46-1,G46/G47-1)</f>
        <v>0</v>
      </c>
      <c r="H51" s="449" t="str">
        <f>IF(OR(G51&gt;=0.3,G51&lt;=-0.3),"超过30%","")</f>
        <v/>
      </c>
      <c r="I51" s="448">
        <f>IF(I46&lt;I47,I47/I46-1,I46/I47-1)</f>
        <v>0</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f>IF(E47&lt;G47,G47/E47-1,E47/G47-1)</f>
        <v>0</v>
      </c>
      <c r="F52" s="449" t="str">
        <f>IF(OR(E52&gt;=0.2,E52&lt;=-0.2),"超过20%","")</f>
        <v/>
      </c>
      <c r="G52" s="448">
        <f>IF(G47&lt;I47,I47/G47-1,G47/I47-1)</f>
        <v>0</v>
      </c>
      <c r="H52" s="449" t="str">
        <f>IF(OR(G52&gt;=0.2,G52&lt;=-0.2),"超过20%","")</f>
        <v/>
      </c>
      <c r="I52" s="448">
        <f>IF(I47&lt;E47,E47/I47-1,I47/E47-1)</f>
        <v>0</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f>IF(E46&lt;G46,G46/E46-1,E46/G46-1)</f>
        <v>0</v>
      </c>
      <c r="F53" s="449" t="str">
        <f>IF(OR(E53&gt;=0.3,E53&lt;=-0.3),"超过30%","")</f>
        <v/>
      </c>
      <c r="G53" s="448">
        <f>IF(G46&lt;I46,I46/G46-1,G46/I46-1)</f>
        <v>0</v>
      </c>
      <c r="H53" s="449" t="str">
        <f>IF(OR(G53&gt;=0.3,G53&lt;=-0.3),"超过30%","")</f>
        <v/>
      </c>
      <c r="I53" s="448">
        <f>IF(I46&lt;E46,E46/I46-1,I46/E46-1)</f>
        <v>0</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5" t="s">
        <v>1879</v>
      </c>
      <c r="H55" s="3877"/>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f>C48</f>
        <v>300</v>
      </c>
      <c r="C56" s="638">
        <v>1</v>
      </c>
      <c r="D56" s="944">
        <v>1</v>
      </c>
      <c r="E56" s="638">
        <f>'数据-汇总表'!E8+'数据-汇总表'!E9</f>
        <v>140</v>
      </c>
      <c r="F56" s="886">
        <f t="shared" ref="F56:F64" si="15">ROUND(B56*E56/10000,0)</f>
        <v>4</v>
      </c>
      <c r="G56" s="3821"/>
      <c r="H56" s="3806"/>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f>ROUND($C$48*C57*D57,0)</f>
        <v>0</v>
      </c>
      <c r="C57" s="171">
        <f t="shared" ref="C57:C64" si="16">IF($C$55="北京市系数",I57,J57)</f>
        <v>0</v>
      </c>
      <c r="D57" s="945">
        <v>0.25</v>
      </c>
      <c r="E57" s="642"/>
      <c r="F57" s="886">
        <f t="shared" si="15"/>
        <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f t="shared" ref="B58:B64" si="17">ROUND($C$48*C58*D58,0)</f>
        <v>0</v>
      </c>
      <c r="C58" s="171">
        <f t="shared" si="16"/>
        <v>0</v>
      </c>
      <c r="D58" s="945">
        <v>0.25</v>
      </c>
      <c r="E58" s="642"/>
      <c r="F58" s="886">
        <f t="shared" si="15"/>
        <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f t="shared" si="17"/>
        <v>0</v>
      </c>
      <c r="C59" s="171">
        <f t="shared" si="16"/>
        <v>0</v>
      </c>
      <c r="D59" s="945">
        <v>0.25</v>
      </c>
      <c r="E59" s="642"/>
      <c r="F59" s="886">
        <f t="shared" si="15"/>
        <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f t="shared" si="17"/>
        <v>0</v>
      </c>
      <c r="C60" s="171">
        <f t="shared" si="16"/>
        <v>0</v>
      </c>
      <c r="D60" s="945">
        <v>0.25</v>
      </c>
      <c r="E60" s="217">
        <f>'数据-汇总表'!E11</f>
        <v>0</v>
      </c>
      <c r="F60" s="886">
        <f t="shared" si="15"/>
        <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f t="shared" si="17"/>
        <v>0</v>
      </c>
      <c r="C61" s="171">
        <f t="shared" si="16"/>
        <v>0</v>
      </c>
      <c r="D61" s="945">
        <v>0.25</v>
      </c>
      <c r="E61" s="217">
        <f>'数据-汇总表'!E12</f>
        <v>0</v>
      </c>
      <c r="F61" s="886">
        <f t="shared" si="15"/>
        <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f t="shared" si="17"/>
        <v>0</v>
      </c>
      <c r="C62" s="171">
        <f t="shared" si="16"/>
        <v>0</v>
      </c>
      <c r="D62" s="945">
        <v>0.25</v>
      </c>
      <c r="E62" s="217">
        <f>'数据-汇总表'!E13</f>
        <v>0</v>
      </c>
      <c r="F62" s="886">
        <f t="shared" si="15"/>
        <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f t="shared" si="17"/>
        <v>0</v>
      </c>
      <c r="C63" s="171">
        <f t="shared" si="16"/>
        <v>0</v>
      </c>
      <c r="D63" s="945">
        <v>0.25</v>
      </c>
      <c r="E63" s="217">
        <f>'数据-汇总表'!E14</f>
        <v>0</v>
      </c>
      <c r="F63" s="886">
        <f t="shared" si="15"/>
        <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f t="shared" si="17"/>
        <v>0</v>
      </c>
      <c r="C64" s="171">
        <f t="shared" si="16"/>
        <v>0</v>
      </c>
      <c r="D64" s="945">
        <v>0.25</v>
      </c>
      <c r="E64" s="217">
        <f>'数据-汇总表'!E15</f>
        <v>0</v>
      </c>
      <c r="F64" s="886">
        <f t="shared" si="15"/>
        <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140</v>
      </c>
      <c r="F65" s="645">
        <f>IF(B46="楼面地价",SUM(F56:F64),ROUND(C48*E65/10000,0))</f>
        <v>4</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3574" t="s">
        <v>3692</v>
      </c>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v>100</v>
      </c>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3499" t="s">
        <v>3502</v>
      </c>
      <c r="D76" s="3499" t="s">
        <v>3503</v>
      </c>
      <c r="E76" s="3499" t="s">
        <v>3504</v>
      </c>
      <c r="F76" s="3499" t="s">
        <v>3505</v>
      </c>
      <c r="G76" s="3499" t="s">
        <v>3506</v>
      </c>
      <c r="H76" s="3499" t="s">
        <v>3507</v>
      </c>
      <c r="I76" s="3499" t="s">
        <v>3508</v>
      </c>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3500">
        <v>100</v>
      </c>
      <c r="D77" s="3500">
        <f t="shared" ref="D77:I77" si="20">C77-$K21</f>
        <v>98</v>
      </c>
      <c r="E77" s="3500">
        <f t="shared" si="20"/>
        <v>96</v>
      </c>
      <c r="F77" s="3500">
        <f t="shared" si="20"/>
        <v>94</v>
      </c>
      <c r="G77" s="3500">
        <f t="shared" si="20"/>
        <v>92</v>
      </c>
      <c r="H77" s="3500">
        <f t="shared" si="20"/>
        <v>90</v>
      </c>
      <c r="I77" s="3500">
        <f t="shared" si="20"/>
        <v>88</v>
      </c>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0（含）-1</v>
      </c>
      <c r="D78" s="496" t="str">
        <f t="shared" ref="D78:L78" si="21">D79&amp;"（含）"&amp;"-"&amp;E79</f>
        <v>1（含）-2</v>
      </c>
      <c r="E78" s="496" t="str">
        <f t="shared" si="21"/>
        <v>2（含）-3</v>
      </c>
      <c r="F78" s="496" t="str">
        <f t="shared" si="21"/>
        <v>3（含）-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357">
        <v>0</v>
      </c>
      <c r="D79" s="498">
        <v>1</v>
      </c>
      <c r="E79" s="498">
        <v>2</v>
      </c>
      <c r="F79" s="498">
        <v>3</v>
      </c>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98</v>
      </c>
      <c r="E88" s="493">
        <f>D88-$K15</f>
        <v>96</v>
      </c>
      <c r="F88" s="493">
        <f>E88-$K15</f>
        <v>94</v>
      </c>
      <c r="G88" s="493">
        <f>F88-$K15</f>
        <v>92</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98</v>
      </c>
      <c r="E90" s="493">
        <f>D90-$K17</f>
        <v>96</v>
      </c>
      <c r="F90" s="493">
        <f>E90-$K17</f>
        <v>94</v>
      </c>
      <c r="G90" s="493">
        <f>F90-$K17</f>
        <v>92</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98</v>
      </c>
      <c r="E92" s="493">
        <f>D92-$K19</f>
        <v>96</v>
      </c>
      <c r="F92" s="493">
        <f>E92-$K19</f>
        <v>94</v>
      </c>
      <c r="G92" s="493">
        <f>F92-$K19</f>
        <v>92</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98</v>
      </c>
      <c r="E94" s="493">
        <f>D94-$K21</f>
        <v>96</v>
      </c>
      <c r="F94" s="493">
        <f>E94-$K21</f>
        <v>94</v>
      </c>
      <c r="G94" s="493">
        <f>F94-$K21</f>
        <v>92</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0(含)-10</v>
      </c>
      <c r="D115" s="478" t="str">
        <f t="shared" ref="D115:M115" si="26">D116&amp;"(含)"&amp;"-"&amp;E116</f>
        <v>10(含)-15</v>
      </c>
      <c r="E115" s="478" t="str">
        <f t="shared" si="26"/>
        <v>15(含)-20</v>
      </c>
      <c r="F115" s="478" t="str">
        <f t="shared" si="26"/>
        <v>20(含)-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10</v>
      </c>
      <c r="E116" s="544">
        <v>15</v>
      </c>
      <c r="F116" s="544">
        <v>20</v>
      </c>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102</v>
      </c>
      <c r="E117" s="540">
        <v>104</v>
      </c>
      <c r="F117" s="540">
        <v>106</v>
      </c>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3575" t="s">
        <v>3696</v>
      </c>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19">
    <dataValidation type="list" allowBlank="1" showInputMessage="1" showErrorMessage="1" sqref="C25" xr:uid="{00000000-0002-0000-1F00-000000000000}">
      <formula1>住宅朝向</formula1>
    </dataValidation>
    <dataValidation type="list" allowBlank="1" showInputMessage="1" showErrorMessage="1" sqref="C16 E16 G16 I16 C18 E18 G18 I18 C20 E20 G20 I20 C22 E22 G22 I22 C24 E24 G24 I24 C26 E26 G26 I26 C28 E28 G28 I28" xr:uid="{00000000-0002-0000-1F00-000003000000}">
      <formula1>居住社区成熟度</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G39 E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G31 E31 I31" xr:uid="{00000000-0002-0000-1F00-000010000000}">
      <formula1>临街状况</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G30 E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7" sqref="F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140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44991</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16690</v>
      </c>
      <c r="C5" s="2509">
        <f>E14</f>
        <v>120440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6"/>
      <c r="F10" s="3440" t="s">
        <v>3358</v>
      </c>
      <c r="G10" s="3437"/>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140</v>
      </c>
      <c r="C14" s="2515">
        <v>0</v>
      </c>
      <c r="D14" s="2515">
        <f>收益法倒推!C3</f>
        <v>16690</v>
      </c>
      <c r="E14" s="2515">
        <f>'比较法-住宅'!C48</f>
        <v>120440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view="pageBreakPreview" zoomScaleNormal="100" zoomScaleSheetLayoutView="100" workbookViewId="0">
      <selection activeCell="N18" sqref="N18"/>
    </sheetView>
  </sheetViews>
  <sheetFormatPr defaultRowHeight="13.5"/>
  <cols>
    <col min="1" max="1" width="6.375" style="3520" customWidth="1"/>
    <col min="2" max="2" width="19.375" style="3524" customWidth="1"/>
    <col min="3" max="3" width="6.25" style="3520" customWidth="1"/>
    <col min="4" max="4" width="6.375" style="3520" customWidth="1"/>
    <col min="5" max="5" width="7.375" style="3520" customWidth="1"/>
    <col min="6" max="6" width="3.5" style="3520" customWidth="1"/>
    <col min="7" max="7" width="19.375" style="3525" customWidth="1"/>
    <col min="8" max="8" width="19.5" style="3520" customWidth="1"/>
    <col min="9" max="9" width="8.625" style="3520" customWidth="1"/>
    <col min="10" max="10" width="10.5" style="3518" customWidth="1"/>
    <col min="11" max="11" width="4.875" style="3518" customWidth="1"/>
    <col min="12" max="12" width="16.375" style="3518" customWidth="1"/>
    <col min="13" max="16" width="8.125" style="3520" customWidth="1"/>
    <col min="17" max="256" width="9" style="3520"/>
    <col min="257" max="257" width="6.375" style="3520" customWidth="1"/>
    <col min="258" max="258" width="19.375" style="3520" customWidth="1"/>
    <col min="259" max="259" width="6.25" style="3520" customWidth="1"/>
    <col min="260" max="260" width="6.375" style="3520" customWidth="1"/>
    <col min="261" max="261" width="7.375" style="3520" customWidth="1"/>
    <col min="262" max="262" width="3.5" style="3520" customWidth="1"/>
    <col min="263" max="263" width="19.375" style="3520" customWidth="1"/>
    <col min="264" max="264" width="19.5" style="3520" customWidth="1"/>
    <col min="265" max="265" width="8.625" style="3520" customWidth="1"/>
    <col min="266" max="266" width="10.5" style="3520" customWidth="1"/>
    <col min="267" max="267" width="4.875" style="3520" customWidth="1"/>
    <col min="268" max="268" width="16.375" style="3520" customWidth="1"/>
    <col min="269" max="272" width="8.125" style="3520" customWidth="1"/>
    <col min="273" max="512" width="9" style="3520"/>
    <col min="513" max="513" width="6.375" style="3520" customWidth="1"/>
    <col min="514" max="514" width="19.375" style="3520" customWidth="1"/>
    <col min="515" max="515" width="6.25" style="3520" customWidth="1"/>
    <col min="516" max="516" width="6.375" style="3520" customWidth="1"/>
    <col min="517" max="517" width="7.375" style="3520" customWidth="1"/>
    <col min="518" max="518" width="3.5" style="3520" customWidth="1"/>
    <col min="519" max="519" width="19.375" style="3520" customWidth="1"/>
    <col min="520" max="520" width="19.5" style="3520" customWidth="1"/>
    <col min="521" max="521" width="8.625" style="3520" customWidth="1"/>
    <col min="522" max="522" width="10.5" style="3520" customWidth="1"/>
    <col min="523" max="523" width="4.875" style="3520" customWidth="1"/>
    <col min="524" max="524" width="16.375" style="3520" customWidth="1"/>
    <col min="525" max="528" width="8.125" style="3520" customWidth="1"/>
    <col min="529" max="768" width="9" style="3520"/>
    <col min="769" max="769" width="6.375" style="3520" customWidth="1"/>
    <col min="770" max="770" width="19.375" style="3520" customWidth="1"/>
    <col min="771" max="771" width="6.25" style="3520" customWidth="1"/>
    <col min="772" max="772" width="6.375" style="3520" customWidth="1"/>
    <col min="773" max="773" width="7.375" style="3520" customWidth="1"/>
    <col min="774" max="774" width="3.5" style="3520" customWidth="1"/>
    <col min="775" max="775" width="19.375" style="3520" customWidth="1"/>
    <col min="776" max="776" width="19.5" style="3520" customWidth="1"/>
    <col min="777" max="777" width="8.625" style="3520" customWidth="1"/>
    <col min="778" max="778" width="10.5" style="3520" customWidth="1"/>
    <col min="779" max="779" width="4.875" style="3520" customWidth="1"/>
    <col min="780" max="780" width="16.375" style="3520" customWidth="1"/>
    <col min="781" max="784" width="8.125" style="3520" customWidth="1"/>
    <col min="785" max="1024" width="9" style="3520"/>
    <col min="1025" max="1025" width="6.375" style="3520" customWidth="1"/>
    <col min="1026" max="1026" width="19.375" style="3520" customWidth="1"/>
    <col min="1027" max="1027" width="6.25" style="3520" customWidth="1"/>
    <col min="1028" max="1028" width="6.375" style="3520" customWidth="1"/>
    <col min="1029" max="1029" width="7.375" style="3520" customWidth="1"/>
    <col min="1030" max="1030" width="3.5" style="3520" customWidth="1"/>
    <col min="1031" max="1031" width="19.375" style="3520" customWidth="1"/>
    <col min="1032" max="1032" width="19.5" style="3520" customWidth="1"/>
    <col min="1033" max="1033" width="8.625" style="3520" customWidth="1"/>
    <col min="1034" max="1034" width="10.5" style="3520" customWidth="1"/>
    <col min="1035" max="1035" width="4.875" style="3520" customWidth="1"/>
    <col min="1036" max="1036" width="16.375" style="3520" customWidth="1"/>
    <col min="1037" max="1040" width="8.125" style="3520" customWidth="1"/>
    <col min="1041" max="1280" width="9" style="3520"/>
    <col min="1281" max="1281" width="6.375" style="3520" customWidth="1"/>
    <col min="1282" max="1282" width="19.375" style="3520" customWidth="1"/>
    <col min="1283" max="1283" width="6.25" style="3520" customWidth="1"/>
    <col min="1284" max="1284" width="6.375" style="3520" customWidth="1"/>
    <col min="1285" max="1285" width="7.375" style="3520" customWidth="1"/>
    <col min="1286" max="1286" width="3.5" style="3520" customWidth="1"/>
    <col min="1287" max="1287" width="19.375" style="3520" customWidth="1"/>
    <col min="1288" max="1288" width="19.5" style="3520" customWidth="1"/>
    <col min="1289" max="1289" width="8.625" style="3520" customWidth="1"/>
    <col min="1290" max="1290" width="10.5" style="3520" customWidth="1"/>
    <col min="1291" max="1291" width="4.875" style="3520" customWidth="1"/>
    <col min="1292" max="1292" width="16.375" style="3520" customWidth="1"/>
    <col min="1293" max="1296" width="8.125" style="3520" customWidth="1"/>
    <col min="1297" max="1536" width="9" style="3520"/>
    <col min="1537" max="1537" width="6.375" style="3520" customWidth="1"/>
    <col min="1538" max="1538" width="19.375" style="3520" customWidth="1"/>
    <col min="1539" max="1539" width="6.25" style="3520" customWidth="1"/>
    <col min="1540" max="1540" width="6.375" style="3520" customWidth="1"/>
    <col min="1541" max="1541" width="7.375" style="3520" customWidth="1"/>
    <col min="1542" max="1542" width="3.5" style="3520" customWidth="1"/>
    <col min="1543" max="1543" width="19.375" style="3520" customWidth="1"/>
    <col min="1544" max="1544" width="19.5" style="3520" customWidth="1"/>
    <col min="1545" max="1545" width="8.625" style="3520" customWidth="1"/>
    <col min="1546" max="1546" width="10.5" style="3520" customWidth="1"/>
    <col min="1547" max="1547" width="4.875" style="3520" customWidth="1"/>
    <col min="1548" max="1548" width="16.375" style="3520" customWidth="1"/>
    <col min="1549" max="1552" width="8.125" style="3520" customWidth="1"/>
    <col min="1553" max="1792" width="9" style="3520"/>
    <col min="1793" max="1793" width="6.375" style="3520" customWidth="1"/>
    <col min="1794" max="1794" width="19.375" style="3520" customWidth="1"/>
    <col min="1795" max="1795" width="6.25" style="3520" customWidth="1"/>
    <col min="1796" max="1796" width="6.375" style="3520" customWidth="1"/>
    <col min="1797" max="1797" width="7.375" style="3520" customWidth="1"/>
    <col min="1798" max="1798" width="3.5" style="3520" customWidth="1"/>
    <col min="1799" max="1799" width="19.375" style="3520" customWidth="1"/>
    <col min="1800" max="1800" width="19.5" style="3520" customWidth="1"/>
    <col min="1801" max="1801" width="8.625" style="3520" customWidth="1"/>
    <col min="1802" max="1802" width="10.5" style="3520" customWidth="1"/>
    <col min="1803" max="1803" width="4.875" style="3520" customWidth="1"/>
    <col min="1804" max="1804" width="16.375" style="3520" customWidth="1"/>
    <col min="1805" max="1808" width="8.125" style="3520" customWidth="1"/>
    <col min="1809" max="2048" width="9" style="3520"/>
    <col min="2049" max="2049" width="6.375" style="3520" customWidth="1"/>
    <col min="2050" max="2050" width="19.375" style="3520" customWidth="1"/>
    <col min="2051" max="2051" width="6.25" style="3520" customWidth="1"/>
    <col min="2052" max="2052" width="6.375" style="3520" customWidth="1"/>
    <col min="2053" max="2053" width="7.375" style="3520" customWidth="1"/>
    <col min="2054" max="2054" width="3.5" style="3520" customWidth="1"/>
    <col min="2055" max="2055" width="19.375" style="3520" customWidth="1"/>
    <col min="2056" max="2056" width="19.5" style="3520" customWidth="1"/>
    <col min="2057" max="2057" width="8.625" style="3520" customWidth="1"/>
    <col min="2058" max="2058" width="10.5" style="3520" customWidth="1"/>
    <col min="2059" max="2059" width="4.875" style="3520" customWidth="1"/>
    <col min="2060" max="2060" width="16.375" style="3520" customWidth="1"/>
    <col min="2061" max="2064" width="8.125" style="3520" customWidth="1"/>
    <col min="2065" max="2304" width="9" style="3520"/>
    <col min="2305" max="2305" width="6.375" style="3520" customWidth="1"/>
    <col min="2306" max="2306" width="19.375" style="3520" customWidth="1"/>
    <col min="2307" max="2307" width="6.25" style="3520" customWidth="1"/>
    <col min="2308" max="2308" width="6.375" style="3520" customWidth="1"/>
    <col min="2309" max="2309" width="7.375" style="3520" customWidth="1"/>
    <col min="2310" max="2310" width="3.5" style="3520" customWidth="1"/>
    <col min="2311" max="2311" width="19.375" style="3520" customWidth="1"/>
    <col min="2312" max="2312" width="19.5" style="3520" customWidth="1"/>
    <col min="2313" max="2313" width="8.625" style="3520" customWidth="1"/>
    <col min="2314" max="2314" width="10.5" style="3520" customWidth="1"/>
    <col min="2315" max="2315" width="4.875" style="3520" customWidth="1"/>
    <col min="2316" max="2316" width="16.375" style="3520" customWidth="1"/>
    <col min="2317" max="2320" width="8.125" style="3520" customWidth="1"/>
    <col min="2321" max="2560" width="9" style="3520"/>
    <col min="2561" max="2561" width="6.375" style="3520" customWidth="1"/>
    <col min="2562" max="2562" width="19.375" style="3520" customWidth="1"/>
    <col min="2563" max="2563" width="6.25" style="3520" customWidth="1"/>
    <col min="2564" max="2564" width="6.375" style="3520" customWidth="1"/>
    <col min="2565" max="2565" width="7.375" style="3520" customWidth="1"/>
    <col min="2566" max="2566" width="3.5" style="3520" customWidth="1"/>
    <col min="2567" max="2567" width="19.375" style="3520" customWidth="1"/>
    <col min="2568" max="2568" width="19.5" style="3520" customWidth="1"/>
    <col min="2569" max="2569" width="8.625" style="3520" customWidth="1"/>
    <col min="2570" max="2570" width="10.5" style="3520" customWidth="1"/>
    <col min="2571" max="2571" width="4.875" style="3520" customWidth="1"/>
    <col min="2572" max="2572" width="16.375" style="3520" customWidth="1"/>
    <col min="2573" max="2576" width="8.125" style="3520" customWidth="1"/>
    <col min="2577" max="2816" width="9" style="3520"/>
    <col min="2817" max="2817" width="6.375" style="3520" customWidth="1"/>
    <col min="2818" max="2818" width="19.375" style="3520" customWidth="1"/>
    <col min="2819" max="2819" width="6.25" style="3520" customWidth="1"/>
    <col min="2820" max="2820" width="6.375" style="3520" customWidth="1"/>
    <col min="2821" max="2821" width="7.375" style="3520" customWidth="1"/>
    <col min="2822" max="2822" width="3.5" style="3520" customWidth="1"/>
    <col min="2823" max="2823" width="19.375" style="3520" customWidth="1"/>
    <col min="2824" max="2824" width="19.5" style="3520" customWidth="1"/>
    <col min="2825" max="2825" width="8.625" style="3520" customWidth="1"/>
    <col min="2826" max="2826" width="10.5" style="3520" customWidth="1"/>
    <col min="2827" max="2827" width="4.875" style="3520" customWidth="1"/>
    <col min="2828" max="2828" width="16.375" style="3520" customWidth="1"/>
    <col min="2829" max="2832" width="8.125" style="3520" customWidth="1"/>
    <col min="2833" max="3072" width="9" style="3520"/>
    <col min="3073" max="3073" width="6.375" style="3520" customWidth="1"/>
    <col min="3074" max="3074" width="19.375" style="3520" customWidth="1"/>
    <col min="3075" max="3075" width="6.25" style="3520" customWidth="1"/>
    <col min="3076" max="3076" width="6.375" style="3520" customWidth="1"/>
    <col min="3077" max="3077" width="7.375" style="3520" customWidth="1"/>
    <col min="3078" max="3078" width="3.5" style="3520" customWidth="1"/>
    <col min="3079" max="3079" width="19.375" style="3520" customWidth="1"/>
    <col min="3080" max="3080" width="19.5" style="3520" customWidth="1"/>
    <col min="3081" max="3081" width="8.625" style="3520" customWidth="1"/>
    <col min="3082" max="3082" width="10.5" style="3520" customWidth="1"/>
    <col min="3083" max="3083" width="4.875" style="3520" customWidth="1"/>
    <col min="3084" max="3084" width="16.375" style="3520" customWidth="1"/>
    <col min="3085" max="3088" width="8.125" style="3520" customWidth="1"/>
    <col min="3089" max="3328" width="9" style="3520"/>
    <col min="3329" max="3329" width="6.375" style="3520" customWidth="1"/>
    <col min="3330" max="3330" width="19.375" style="3520" customWidth="1"/>
    <col min="3331" max="3331" width="6.25" style="3520" customWidth="1"/>
    <col min="3332" max="3332" width="6.375" style="3520" customWidth="1"/>
    <col min="3333" max="3333" width="7.375" style="3520" customWidth="1"/>
    <col min="3334" max="3334" width="3.5" style="3520" customWidth="1"/>
    <col min="3335" max="3335" width="19.375" style="3520" customWidth="1"/>
    <col min="3336" max="3336" width="19.5" style="3520" customWidth="1"/>
    <col min="3337" max="3337" width="8.625" style="3520" customWidth="1"/>
    <col min="3338" max="3338" width="10.5" style="3520" customWidth="1"/>
    <col min="3339" max="3339" width="4.875" style="3520" customWidth="1"/>
    <col min="3340" max="3340" width="16.375" style="3520" customWidth="1"/>
    <col min="3341" max="3344" width="8.125" style="3520" customWidth="1"/>
    <col min="3345" max="3584" width="9" style="3520"/>
    <col min="3585" max="3585" width="6.375" style="3520" customWidth="1"/>
    <col min="3586" max="3586" width="19.375" style="3520" customWidth="1"/>
    <col min="3587" max="3587" width="6.25" style="3520" customWidth="1"/>
    <col min="3588" max="3588" width="6.375" style="3520" customWidth="1"/>
    <col min="3589" max="3589" width="7.375" style="3520" customWidth="1"/>
    <col min="3590" max="3590" width="3.5" style="3520" customWidth="1"/>
    <col min="3591" max="3591" width="19.375" style="3520" customWidth="1"/>
    <col min="3592" max="3592" width="19.5" style="3520" customWidth="1"/>
    <col min="3593" max="3593" width="8.625" style="3520" customWidth="1"/>
    <col min="3594" max="3594" width="10.5" style="3520" customWidth="1"/>
    <col min="3595" max="3595" width="4.875" style="3520" customWidth="1"/>
    <col min="3596" max="3596" width="16.375" style="3520" customWidth="1"/>
    <col min="3597" max="3600" width="8.125" style="3520" customWidth="1"/>
    <col min="3601" max="3840" width="9" style="3520"/>
    <col min="3841" max="3841" width="6.375" style="3520" customWidth="1"/>
    <col min="3842" max="3842" width="19.375" style="3520" customWidth="1"/>
    <col min="3843" max="3843" width="6.25" style="3520" customWidth="1"/>
    <col min="3844" max="3844" width="6.375" style="3520" customWidth="1"/>
    <col min="3845" max="3845" width="7.375" style="3520" customWidth="1"/>
    <col min="3846" max="3846" width="3.5" style="3520" customWidth="1"/>
    <col min="3847" max="3847" width="19.375" style="3520" customWidth="1"/>
    <col min="3848" max="3848" width="19.5" style="3520" customWidth="1"/>
    <col min="3849" max="3849" width="8.625" style="3520" customWidth="1"/>
    <col min="3850" max="3850" width="10.5" style="3520" customWidth="1"/>
    <col min="3851" max="3851" width="4.875" style="3520" customWidth="1"/>
    <col min="3852" max="3852" width="16.375" style="3520" customWidth="1"/>
    <col min="3853" max="3856" width="8.125" style="3520" customWidth="1"/>
    <col min="3857" max="4096" width="9" style="3520"/>
    <col min="4097" max="4097" width="6.375" style="3520" customWidth="1"/>
    <col min="4098" max="4098" width="19.375" style="3520" customWidth="1"/>
    <col min="4099" max="4099" width="6.25" style="3520" customWidth="1"/>
    <col min="4100" max="4100" width="6.375" style="3520" customWidth="1"/>
    <col min="4101" max="4101" width="7.375" style="3520" customWidth="1"/>
    <col min="4102" max="4102" width="3.5" style="3520" customWidth="1"/>
    <col min="4103" max="4103" width="19.375" style="3520" customWidth="1"/>
    <col min="4104" max="4104" width="19.5" style="3520" customWidth="1"/>
    <col min="4105" max="4105" width="8.625" style="3520" customWidth="1"/>
    <col min="4106" max="4106" width="10.5" style="3520" customWidth="1"/>
    <col min="4107" max="4107" width="4.875" style="3520" customWidth="1"/>
    <col min="4108" max="4108" width="16.375" style="3520" customWidth="1"/>
    <col min="4109" max="4112" width="8.125" style="3520" customWidth="1"/>
    <col min="4113" max="4352" width="9" style="3520"/>
    <col min="4353" max="4353" width="6.375" style="3520" customWidth="1"/>
    <col min="4354" max="4354" width="19.375" style="3520" customWidth="1"/>
    <col min="4355" max="4355" width="6.25" style="3520" customWidth="1"/>
    <col min="4356" max="4356" width="6.375" style="3520" customWidth="1"/>
    <col min="4357" max="4357" width="7.375" style="3520" customWidth="1"/>
    <col min="4358" max="4358" width="3.5" style="3520" customWidth="1"/>
    <col min="4359" max="4359" width="19.375" style="3520" customWidth="1"/>
    <col min="4360" max="4360" width="19.5" style="3520" customWidth="1"/>
    <col min="4361" max="4361" width="8.625" style="3520" customWidth="1"/>
    <col min="4362" max="4362" width="10.5" style="3520" customWidth="1"/>
    <col min="4363" max="4363" width="4.875" style="3520" customWidth="1"/>
    <col min="4364" max="4364" width="16.375" style="3520" customWidth="1"/>
    <col min="4365" max="4368" width="8.125" style="3520" customWidth="1"/>
    <col min="4369" max="4608" width="9" style="3520"/>
    <col min="4609" max="4609" width="6.375" style="3520" customWidth="1"/>
    <col min="4610" max="4610" width="19.375" style="3520" customWidth="1"/>
    <col min="4611" max="4611" width="6.25" style="3520" customWidth="1"/>
    <col min="4612" max="4612" width="6.375" style="3520" customWidth="1"/>
    <col min="4613" max="4613" width="7.375" style="3520" customWidth="1"/>
    <col min="4614" max="4614" width="3.5" style="3520" customWidth="1"/>
    <col min="4615" max="4615" width="19.375" style="3520" customWidth="1"/>
    <col min="4616" max="4616" width="19.5" style="3520" customWidth="1"/>
    <col min="4617" max="4617" width="8.625" style="3520" customWidth="1"/>
    <col min="4618" max="4618" width="10.5" style="3520" customWidth="1"/>
    <col min="4619" max="4619" width="4.875" style="3520" customWidth="1"/>
    <col min="4620" max="4620" width="16.375" style="3520" customWidth="1"/>
    <col min="4621" max="4624" width="8.125" style="3520" customWidth="1"/>
    <col min="4625" max="4864" width="9" style="3520"/>
    <col min="4865" max="4865" width="6.375" style="3520" customWidth="1"/>
    <col min="4866" max="4866" width="19.375" style="3520" customWidth="1"/>
    <col min="4867" max="4867" width="6.25" style="3520" customWidth="1"/>
    <col min="4868" max="4868" width="6.375" style="3520" customWidth="1"/>
    <col min="4869" max="4869" width="7.375" style="3520" customWidth="1"/>
    <col min="4870" max="4870" width="3.5" style="3520" customWidth="1"/>
    <col min="4871" max="4871" width="19.375" style="3520" customWidth="1"/>
    <col min="4872" max="4872" width="19.5" style="3520" customWidth="1"/>
    <col min="4873" max="4873" width="8.625" style="3520" customWidth="1"/>
    <col min="4874" max="4874" width="10.5" style="3520" customWidth="1"/>
    <col min="4875" max="4875" width="4.875" style="3520" customWidth="1"/>
    <col min="4876" max="4876" width="16.375" style="3520" customWidth="1"/>
    <col min="4877" max="4880" width="8.125" style="3520" customWidth="1"/>
    <col min="4881" max="5120" width="9" style="3520"/>
    <col min="5121" max="5121" width="6.375" style="3520" customWidth="1"/>
    <col min="5122" max="5122" width="19.375" style="3520" customWidth="1"/>
    <col min="5123" max="5123" width="6.25" style="3520" customWidth="1"/>
    <col min="5124" max="5124" width="6.375" style="3520" customWidth="1"/>
    <col min="5125" max="5125" width="7.375" style="3520" customWidth="1"/>
    <col min="5126" max="5126" width="3.5" style="3520" customWidth="1"/>
    <col min="5127" max="5127" width="19.375" style="3520" customWidth="1"/>
    <col min="5128" max="5128" width="19.5" style="3520" customWidth="1"/>
    <col min="5129" max="5129" width="8.625" style="3520" customWidth="1"/>
    <col min="5130" max="5130" width="10.5" style="3520" customWidth="1"/>
    <col min="5131" max="5131" width="4.875" style="3520" customWidth="1"/>
    <col min="5132" max="5132" width="16.375" style="3520" customWidth="1"/>
    <col min="5133" max="5136" width="8.125" style="3520" customWidth="1"/>
    <col min="5137" max="5376" width="9" style="3520"/>
    <col min="5377" max="5377" width="6.375" style="3520" customWidth="1"/>
    <col min="5378" max="5378" width="19.375" style="3520" customWidth="1"/>
    <col min="5379" max="5379" width="6.25" style="3520" customWidth="1"/>
    <col min="5380" max="5380" width="6.375" style="3520" customWidth="1"/>
    <col min="5381" max="5381" width="7.375" style="3520" customWidth="1"/>
    <col min="5382" max="5382" width="3.5" style="3520" customWidth="1"/>
    <col min="5383" max="5383" width="19.375" style="3520" customWidth="1"/>
    <col min="5384" max="5384" width="19.5" style="3520" customWidth="1"/>
    <col min="5385" max="5385" width="8.625" style="3520" customWidth="1"/>
    <col min="5386" max="5386" width="10.5" style="3520" customWidth="1"/>
    <col min="5387" max="5387" width="4.875" style="3520" customWidth="1"/>
    <col min="5388" max="5388" width="16.375" style="3520" customWidth="1"/>
    <col min="5389" max="5392" width="8.125" style="3520" customWidth="1"/>
    <col min="5393" max="5632" width="9" style="3520"/>
    <col min="5633" max="5633" width="6.375" style="3520" customWidth="1"/>
    <col min="5634" max="5634" width="19.375" style="3520" customWidth="1"/>
    <col min="5635" max="5635" width="6.25" style="3520" customWidth="1"/>
    <col min="5636" max="5636" width="6.375" style="3520" customWidth="1"/>
    <col min="5637" max="5637" width="7.375" style="3520" customWidth="1"/>
    <col min="5638" max="5638" width="3.5" style="3520" customWidth="1"/>
    <col min="5639" max="5639" width="19.375" style="3520" customWidth="1"/>
    <col min="5640" max="5640" width="19.5" style="3520" customWidth="1"/>
    <col min="5641" max="5641" width="8.625" style="3520" customWidth="1"/>
    <col min="5642" max="5642" width="10.5" style="3520" customWidth="1"/>
    <col min="5643" max="5643" width="4.875" style="3520" customWidth="1"/>
    <col min="5644" max="5644" width="16.375" style="3520" customWidth="1"/>
    <col min="5645" max="5648" width="8.125" style="3520" customWidth="1"/>
    <col min="5649" max="5888" width="9" style="3520"/>
    <col min="5889" max="5889" width="6.375" style="3520" customWidth="1"/>
    <col min="5890" max="5890" width="19.375" style="3520" customWidth="1"/>
    <col min="5891" max="5891" width="6.25" style="3520" customWidth="1"/>
    <col min="5892" max="5892" width="6.375" style="3520" customWidth="1"/>
    <col min="5893" max="5893" width="7.375" style="3520" customWidth="1"/>
    <col min="5894" max="5894" width="3.5" style="3520" customWidth="1"/>
    <col min="5895" max="5895" width="19.375" style="3520" customWidth="1"/>
    <col min="5896" max="5896" width="19.5" style="3520" customWidth="1"/>
    <col min="5897" max="5897" width="8.625" style="3520" customWidth="1"/>
    <col min="5898" max="5898" width="10.5" style="3520" customWidth="1"/>
    <col min="5899" max="5899" width="4.875" style="3520" customWidth="1"/>
    <col min="5900" max="5900" width="16.375" style="3520" customWidth="1"/>
    <col min="5901" max="5904" width="8.125" style="3520" customWidth="1"/>
    <col min="5905" max="6144" width="9" style="3520"/>
    <col min="6145" max="6145" width="6.375" style="3520" customWidth="1"/>
    <col min="6146" max="6146" width="19.375" style="3520" customWidth="1"/>
    <col min="6147" max="6147" width="6.25" style="3520" customWidth="1"/>
    <col min="6148" max="6148" width="6.375" style="3520" customWidth="1"/>
    <col min="6149" max="6149" width="7.375" style="3520" customWidth="1"/>
    <col min="6150" max="6150" width="3.5" style="3520" customWidth="1"/>
    <col min="6151" max="6151" width="19.375" style="3520" customWidth="1"/>
    <col min="6152" max="6152" width="19.5" style="3520" customWidth="1"/>
    <col min="6153" max="6153" width="8.625" style="3520" customWidth="1"/>
    <col min="6154" max="6154" width="10.5" style="3520" customWidth="1"/>
    <col min="6155" max="6155" width="4.875" style="3520" customWidth="1"/>
    <col min="6156" max="6156" width="16.375" style="3520" customWidth="1"/>
    <col min="6157" max="6160" width="8.125" style="3520" customWidth="1"/>
    <col min="6161" max="6400" width="9" style="3520"/>
    <col min="6401" max="6401" width="6.375" style="3520" customWidth="1"/>
    <col min="6402" max="6402" width="19.375" style="3520" customWidth="1"/>
    <col min="6403" max="6403" width="6.25" style="3520" customWidth="1"/>
    <col min="6404" max="6404" width="6.375" style="3520" customWidth="1"/>
    <col min="6405" max="6405" width="7.375" style="3520" customWidth="1"/>
    <col min="6406" max="6406" width="3.5" style="3520" customWidth="1"/>
    <col min="6407" max="6407" width="19.375" style="3520" customWidth="1"/>
    <col min="6408" max="6408" width="19.5" style="3520" customWidth="1"/>
    <col min="6409" max="6409" width="8.625" style="3520" customWidth="1"/>
    <col min="6410" max="6410" width="10.5" style="3520" customWidth="1"/>
    <col min="6411" max="6411" width="4.875" style="3520" customWidth="1"/>
    <col min="6412" max="6412" width="16.375" style="3520" customWidth="1"/>
    <col min="6413" max="6416" width="8.125" style="3520" customWidth="1"/>
    <col min="6417" max="6656" width="9" style="3520"/>
    <col min="6657" max="6657" width="6.375" style="3520" customWidth="1"/>
    <col min="6658" max="6658" width="19.375" style="3520" customWidth="1"/>
    <col min="6659" max="6659" width="6.25" style="3520" customWidth="1"/>
    <col min="6660" max="6660" width="6.375" style="3520" customWidth="1"/>
    <col min="6661" max="6661" width="7.375" style="3520" customWidth="1"/>
    <col min="6662" max="6662" width="3.5" style="3520" customWidth="1"/>
    <col min="6663" max="6663" width="19.375" style="3520" customWidth="1"/>
    <col min="6664" max="6664" width="19.5" style="3520" customWidth="1"/>
    <col min="6665" max="6665" width="8.625" style="3520" customWidth="1"/>
    <col min="6666" max="6666" width="10.5" style="3520" customWidth="1"/>
    <col min="6667" max="6667" width="4.875" style="3520" customWidth="1"/>
    <col min="6668" max="6668" width="16.375" style="3520" customWidth="1"/>
    <col min="6669" max="6672" width="8.125" style="3520" customWidth="1"/>
    <col min="6673" max="6912" width="9" style="3520"/>
    <col min="6913" max="6913" width="6.375" style="3520" customWidth="1"/>
    <col min="6914" max="6914" width="19.375" style="3520" customWidth="1"/>
    <col min="6915" max="6915" width="6.25" style="3520" customWidth="1"/>
    <col min="6916" max="6916" width="6.375" style="3520" customWidth="1"/>
    <col min="6917" max="6917" width="7.375" style="3520" customWidth="1"/>
    <col min="6918" max="6918" width="3.5" style="3520" customWidth="1"/>
    <col min="6919" max="6919" width="19.375" style="3520" customWidth="1"/>
    <col min="6920" max="6920" width="19.5" style="3520" customWidth="1"/>
    <col min="6921" max="6921" width="8.625" style="3520" customWidth="1"/>
    <col min="6922" max="6922" width="10.5" style="3520" customWidth="1"/>
    <col min="6923" max="6923" width="4.875" style="3520" customWidth="1"/>
    <col min="6924" max="6924" width="16.375" style="3520" customWidth="1"/>
    <col min="6925" max="6928" width="8.125" style="3520" customWidth="1"/>
    <col min="6929" max="7168" width="9" style="3520"/>
    <col min="7169" max="7169" width="6.375" style="3520" customWidth="1"/>
    <col min="7170" max="7170" width="19.375" style="3520" customWidth="1"/>
    <col min="7171" max="7171" width="6.25" style="3520" customWidth="1"/>
    <col min="7172" max="7172" width="6.375" style="3520" customWidth="1"/>
    <col min="7173" max="7173" width="7.375" style="3520" customWidth="1"/>
    <col min="7174" max="7174" width="3.5" style="3520" customWidth="1"/>
    <col min="7175" max="7175" width="19.375" style="3520" customWidth="1"/>
    <col min="7176" max="7176" width="19.5" style="3520" customWidth="1"/>
    <col min="7177" max="7177" width="8.625" style="3520" customWidth="1"/>
    <col min="7178" max="7178" width="10.5" style="3520" customWidth="1"/>
    <col min="7179" max="7179" width="4.875" style="3520" customWidth="1"/>
    <col min="7180" max="7180" width="16.375" style="3520" customWidth="1"/>
    <col min="7181" max="7184" width="8.125" style="3520" customWidth="1"/>
    <col min="7185" max="7424" width="9" style="3520"/>
    <col min="7425" max="7425" width="6.375" style="3520" customWidth="1"/>
    <col min="7426" max="7426" width="19.375" style="3520" customWidth="1"/>
    <col min="7427" max="7427" width="6.25" style="3520" customWidth="1"/>
    <col min="7428" max="7428" width="6.375" style="3520" customWidth="1"/>
    <col min="7429" max="7429" width="7.375" style="3520" customWidth="1"/>
    <col min="7430" max="7430" width="3.5" style="3520" customWidth="1"/>
    <col min="7431" max="7431" width="19.375" style="3520" customWidth="1"/>
    <col min="7432" max="7432" width="19.5" style="3520" customWidth="1"/>
    <col min="7433" max="7433" width="8.625" style="3520" customWidth="1"/>
    <col min="7434" max="7434" width="10.5" style="3520" customWidth="1"/>
    <col min="7435" max="7435" width="4.875" style="3520" customWidth="1"/>
    <col min="7436" max="7436" width="16.375" style="3520" customWidth="1"/>
    <col min="7437" max="7440" width="8.125" style="3520" customWidth="1"/>
    <col min="7441" max="7680" width="9" style="3520"/>
    <col min="7681" max="7681" width="6.375" style="3520" customWidth="1"/>
    <col min="7682" max="7682" width="19.375" style="3520" customWidth="1"/>
    <col min="7683" max="7683" width="6.25" style="3520" customWidth="1"/>
    <col min="7684" max="7684" width="6.375" style="3520" customWidth="1"/>
    <col min="7685" max="7685" width="7.375" style="3520" customWidth="1"/>
    <col min="7686" max="7686" width="3.5" style="3520" customWidth="1"/>
    <col min="7687" max="7687" width="19.375" style="3520" customWidth="1"/>
    <col min="7688" max="7688" width="19.5" style="3520" customWidth="1"/>
    <col min="7689" max="7689" width="8.625" style="3520" customWidth="1"/>
    <col min="7690" max="7690" width="10.5" style="3520" customWidth="1"/>
    <col min="7691" max="7691" width="4.875" style="3520" customWidth="1"/>
    <col min="7692" max="7692" width="16.375" style="3520" customWidth="1"/>
    <col min="7693" max="7696" width="8.125" style="3520" customWidth="1"/>
    <col min="7697" max="7936" width="9" style="3520"/>
    <col min="7937" max="7937" width="6.375" style="3520" customWidth="1"/>
    <col min="7938" max="7938" width="19.375" style="3520" customWidth="1"/>
    <col min="7939" max="7939" width="6.25" style="3520" customWidth="1"/>
    <col min="7940" max="7940" width="6.375" style="3520" customWidth="1"/>
    <col min="7941" max="7941" width="7.375" style="3520" customWidth="1"/>
    <col min="7942" max="7942" width="3.5" style="3520" customWidth="1"/>
    <col min="7943" max="7943" width="19.375" style="3520" customWidth="1"/>
    <col min="7944" max="7944" width="19.5" style="3520" customWidth="1"/>
    <col min="7945" max="7945" width="8.625" style="3520" customWidth="1"/>
    <col min="7946" max="7946" width="10.5" style="3520" customWidth="1"/>
    <col min="7947" max="7947" width="4.875" style="3520" customWidth="1"/>
    <col min="7948" max="7948" width="16.375" style="3520" customWidth="1"/>
    <col min="7949" max="7952" width="8.125" style="3520" customWidth="1"/>
    <col min="7953" max="8192" width="9" style="3520"/>
    <col min="8193" max="8193" width="6.375" style="3520" customWidth="1"/>
    <col min="8194" max="8194" width="19.375" style="3520" customWidth="1"/>
    <col min="8195" max="8195" width="6.25" style="3520" customWidth="1"/>
    <col min="8196" max="8196" width="6.375" style="3520" customWidth="1"/>
    <col min="8197" max="8197" width="7.375" style="3520" customWidth="1"/>
    <col min="8198" max="8198" width="3.5" style="3520" customWidth="1"/>
    <col min="8199" max="8199" width="19.375" style="3520" customWidth="1"/>
    <col min="8200" max="8200" width="19.5" style="3520" customWidth="1"/>
    <col min="8201" max="8201" width="8.625" style="3520" customWidth="1"/>
    <col min="8202" max="8202" width="10.5" style="3520" customWidth="1"/>
    <col min="8203" max="8203" width="4.875" style="3520" customWidth="1"/>
    <col min="8204" max="8204" width="16.375" style="3520" customWidth="1"/>
    <col min="8205" max="8208" width="8.125" style="3520" customWidth="1"/>
    <col min="8209" max="8448" width="9" style="3520"/>
    <col min="8449" max="8449" width="6.375" style="3520" customWidth="1"/>
    <col min="8450" max="8450" width="19.375" style="3520" customWidth="1"/>
    <col min="8451" max="8451" width="6.25" style="3520" customWidth="1"/>
    <col min="8452" max="8452" width="6.375" style="3520" customWidth="1"/>
    <col min="8453" max="8453" width="7.375" style="3520" customWidth="1"/>
    <col min="8454" max="8454" width="3.5" style="3520" customWidth="1"/>
    <col min="8455" max="8455" width="19.375" style="3520" customWidth="1"/>
    <col min="8456" max="8456" width="19.5" style="3520" customWidth="1"/>
    <col min="8457" max="8457" width="8.625" style="3520" customWidth="1"/>
    <col min="8458" max="8458" width="10.5" style="3520" customWidth="1"/>
    <col min="8459" max="8459" width="4.875" style="3520" customWidth="1"/>
    <col min="8460" max="8460" width="16.375" style="3520" customWidth="1"/>
    <col min="8461" max="8464" width="8.125" style="3520" customWidth="1"/>
    <col min="8465" max="8704" width="9" style="3520"/>
    <col min="8705" max="8705" width="6.375" style="3520" customWidth="1"/>
    <col min="8706" max="8706" width="19.375" style="3520" customWidth="1"/>
    <col min="8707" max="8707" width="6.25" style="3520" customWidth="1"/>
    <col min="8708" max="8708" width="6.375" style="3520" customWidth="1"/>
    <col min="8709" max="8709" width="7.375" style="3520" customWidth="1"/>
    <col min="8710" max="8710" width="3.5" style="3520" customWidth="1"/>
    <col min="8711" max="8711" width="19.375" style="3520" customWidth="1"/>
    <col min="8712" max="8712" width="19.5" style="3520" customWidth="1"/>
    <col min="8713" max="8713" width="8.625" style="3520" customWidth="1"/>
    <col min="8714" max="8714" width="10.5" style="3520" customWidth="1"/>
    <col min="8715" max="8715" width="4.875" style="3520" customWidth="1"/>
    <col min="8716" max="8716" width="16.375" style="3520" customWidth="1"/>
    <col min="8717" max="8720" width="8.125" style="3520" customWidth="1"/>
    <col min="8721" max="8960" width="9" style="3520"/>
    <col min="8961" max="8961" width="6.375" style="3520" customWidth="1"/>
    <col min="8962" max="8962" width="19.375" style="3520" customWidth="1"/>
    <col min="8963" max="8963" width="6.25" style="3520" customWidth="1"/>
    <col min="8964" max="8964" width="6.375" style="3520" customWidth="1"/>
    <col min="8965" max="8965" width="7.375" style="3520" customWidth="1"/>
    <col min="8966" max="8966" width="3.5" style="3520" customWidth="1"/>
    <col min="8967" max="8967" width="19.375" style="3520" customWidth="1"/>
    <col min="8968" max="8968" width="19.5" style="3520" customWidth="1"/>
    <col min="8969" max="8969" width="8.625" style="3520" customWidth="1"/>
    <col min="8970" max="8970" width="10.5" style="3520" customWidth="1"/>
    <col min="8971" max="8971" width="4.875" style="3520" customWidth="1"/>
    <col min="8972" max="8972" width="16.375" style="3520" customWidth="1"/>
    <col min="8973" max="8976" width="8.125" style="3520" customWidth="1"/>
    <col min="8977" max="9216" width="9" style="3520"/>
    <col min="9217" max="9217" width="6.375" style="3520" customWidth="1"/>
    <col min="9218" max="9218" width="19.375" style="3520" customWidth="1"/>
    <col min="9219" max="9219" width="6.25" style="3520" customWidth="1"/>
    <col min="9220" max="9220" width="6.375" style="3520" customWidth="1"/>
    <col min="9221" max="9221" width="7.375" style="3520" customWidth="1"/>
    <col min="9222" max="9222" width="3.5" style="3520" customWidth="1"/>
    <col min="9223" max="9223" width="19.375" style="3520" customWidth="1"/>
    <col min="9224" max="9224" width="19.5" style="3520" customWidth="1"/>
    <col min="9225" max="9225" width="8.625" style="3520" customWidth="1"/>
    <col min="9226" max="9226" width="10.5" style="3520" customWidth="1"/>
    <col min="9227" max="9227" width="4.875" style="3520" customWidth="1"/>
    <col min="9228" max="9228" width="16.375" style="3520" customWidth="1"/>
    <col min="9229" max="9232" width="8.125" style="3520" customWidth="1"/>
    <col min="9233" max="9472" width="9" style="3520"/>
    <col min="9473" max="9473" width="6.375" style="3520" customWidth="1"/>
    <col min="9474" max="9474" width="19.375" style="3520" customWidth="1"/>
    <col min="9475" max="9475" width="6.25" style="3520" customWidth="1"/>
    <col min="9476" max="9476" width="6.375" style="3520" customWidth="1"/>
    <col min="9477" max="9477" width="7.375" style="3520" customWidth="1"/>
    <col min="9478" max="9478" width="3.5" style="3520" customWidth="1"/>
    <col min="9479" max="9479" width="19.375" style="3520" customWidth="1"/>
    <col min="9480" max="9480" width="19.5" style="3520" customWidth="1"/>
    <col min="9481" max="9481" width="8.625" style="3520" customWidth="1"/>
    <col min="9482" max="9482" width="10.5" style="3520" customWidth="1"/>
    <col min="9483" max="9483" width="4.875" style="3520" customWidth="1"/>
    <col min="9484" max="9484" width="16.375" style="3520" customWidth="1"/>
    <col min="9485" max="9488" width="8.125" style="3520" customWidth="1"/>
    <col min="9489" max="9728" width="9" style="3520"/>
    <col min="9729" max="9729" width="6.375" style="3520" customWidth="1"/>
    <col min="9730" max="9730" width="19.375" style="3520" customWidth="1"/>
    <col min="9731" max="9731" width="6.25" style="3520" customWidth="1"/>
    <col min="9732" max="9732" width="6.375" style="3520" customWidth="1"/>
    <col min="9733" max="9733" width="7.375" style="3520" customWidth="1"/>
    <col min="9734" max="9734" width="3.5" style="3520" customWidth="1"/>
    <col min="9735" max="9735" width="19.375" style="3520" customWidth="1"/>
    <col min="9736" max="9736" width="19.5" style="3520" customWidth="1"/>
    <col min="9737" max="9737" width="8.625" style="3520" customWidth="1"/>
    <col min="9738" max="9738" width="10.5" style="3520" customWidth="1"/>
    <col min="9739" max="9739" width="4.875" style="3520" customWidth="1"/>
    <col min="9740" max="9740" width="16.375" style="3520" customWidth="1"/>
    <col min="9741" max="9744" width="8.125" style="3520" customWidth="1"/>
    <col min="9745" max="9984" width="9" style="3520"/>
    <col min="9985" max="9985" width="6.375" style="3520" customWidth="1"/>
    <col min="9986" max="9986" width="19.375" style="3520" customWidth="1"/>
    <col min="9987" max="9987" width="6.25" style="3520" customWidth="1"/>
    <col min="9988" max="9988" width="6.375" style="3520" customWidth="1"/>
    <col min="9989" max="9989" width="7.375" style="3520" customWidth="1"/>
    <col min="9990" max="9990" width="3.5" style="3520" customWidth="1"/>
    <col min="9991" max="9991" width="19.375" style="3520" customWidth="1"/>
    <col min="9992" max="9992" width="19.5" style="3520" customWidth="1"/>
    <col min="9993" max="9993" width="8.625" style="3520" customWidth="1"/>
    <col min="9994" max="9994" width="10.5" style="3520" customWidth="1"/>
    <col min="9995" max="9995" width="4.875" style="3520" customWidth="1"/>
    <col min="9996" max="9996" width="16.375" style="3520" customWidth="1"/>
    <col min="9997" max="10000" width="8.125" style="3520" customWidth="1"/>
    <col min="10001" max="10240" width="9" style="3520"/>
    <col min="10241" max="10241" width="6.375" style="3520" customWidth="1"/>
    <col min="10242" max="10242" width="19.375" style="3520" customWidth="1"/>
    <col min="10243" max="10243" width="6.25" style="3520" customWidth="1"/>
    <col min="10244" max="10244" width="6.375" style="3520" customWidth="1"/>
    <col min="10245" max="10245" width="7.375" style="3520" customWidth="1"/>
    <col min="10246" max="10246" width="3.5" style="3520" customWidth="1"/>
    <col min="10247" max="10247" width="19.375" style="3520" customWidth="1"/>
    <col min="10248" max="10248" width="19.5" style="3520" customWidth="1"/>
    <col min="10249" max="10249" width="8.625" style="3520" customWidth="1"/>
    <col min="10250" max="10250" width="10.5" style="3520" customWidth="1"/>
    <col min="10251" max="10251" width="4.875" style="3520" customWidth="1"/>
    <col min="10252" max="10252" width="16.375" style="3520" customWidth="1"/>
    <col min="10253" max="10256" width="8.125" style="3520" customWidth="1"/>
    <col min="10257" max="10496" width="9" style="3520"/>
    <col min="10497" max="10497" width="6.375" style="3520" customWidth="1"/>
    <col min="10498" max="10498" width="19.375" style="3520" customWidth="1"/>
    <col min="10499" max="10499" width="6.25" style="3520" customWidth="1"/>
    <col min="10500" max="10500" width="6.375" style="3520" customWidth="1"/>
    <col min="10501" max="10501" width="7.375" style="3520" customWidth="1"/>
    <col min="10502" max="10502" width="3.5" style="3520" customWidth="1"/>
    <col min="10503" max="10503" width="19.375" style="3520" customWidth="1"/>
    <col min="10504" max="10504" width="19.5" style="3520" customWidth="1"/>
    <col min="10505" max="10505" width="8.625" style="3520" customWidth="1"/>
    <col min="10506" max="10506" width="10.5" style="3520" customWidth="1"/>
    <col min="10507" max="10507" width="4.875" style="3520" customWidth="1"/>
    <col min="10508" max="10508" width="16.375" style="3520" customWidth="1"/>
    <col min="10509" max="10512" width="8.125" style="3520" customWidth="1"/>
    <col min="10513" max="10752" width="9" style="3520"/>
    <col min="10753" max="10753" width="6.375" style="3520" customWidth="1"/>
    <col min="10754" max="10754" width="19.375" style="3520" customWidth="1"/>
    <col min="10755" max="10755" width="6.25" style="3520" customWidth="1"/>
    <col min="10756" max="10756" width="6.375" style="3520" customWidth="1"/>
    <col min="10757" max="10757" width="7.375" style="3520" customWidth="1"/>
    <col min="10758" max="10758" width="3.5" style="3520" customWidth="1"/>
    <col min="10759" max="10759" width="19.375" style="3520" customWidth="1"/>
    <col min="10760" max="10760" width="19.5" style="3520" customWidth="1"/>
    <col min="10761" max="10761" width="8.625" style="3520" customWidth="1"/>
    <col min="10762" max="10762" width="10.5" style="3520" customWidth="1"/>
    <col min="10763" max="10763" width="4.875" style="3520" customWidth="1"/>
    <col min="10764" max="10764" width="16.375" style="3520" customWidth="1"/>
    <col min="10765" max="10768" width="8.125" style="3520" customWidth="1"/>
    <col min="10769" max="11008" width="9" style="3520"/>
    <col min="11009" max="11009" width="6.375" style="3520" customWidth="1"/>
    <col min="11010" max="11010" width="19.375" style="3520" customWidth="1"/>
    <col min="11011" max="11011" width="6.25" style="3520" customWidth="1"/>
    <col min="11012" max="11012" width="6.375" style="3520" customWidth="1"/>
    <col min="11013" max="11013" width="7.375" style="3520" customWidth="1"/>
    <col min="11014" max="11014" width="3.5" style="3520" customWidth="1"/>
    <col min="11015" max="11015" width="19.375" style="3520" customWidth="1"/>
    <col min="11016" max="11016" width="19.5" style="3520" customWidth="1"/>
    <col min="11017" max="11017" width="8.625" style="3520" customWidth="1"/>
    <col min="11018" max="11018" width="10.5" style="3520" customWidth="1"/>
    <col min="11019" max="11019" width="4.875" style="3520" customWidth="1"/>
    <col min="11020" max="11020" width="16.375" style="3520" customWidth="1"/>
    <col min="11021" max="11024" width="8.125" style="3520" customWidth="1"/>
    <col min="11025" max="11264" width="9" style="3520"/>
    <col min="11265" max="11265" width="6.375" style="3520" customWidth="1"/>
    <col min="11266" max="11266" width="19.375" style="3520" customWidth="1"/>
    <col min="11267" max="11267" width="6.25" style="3520" customWidth="1"/>
    <col min="11268" max="11268" width="6.375" style="3520" customWidth="1"/>
    <col min="11269" max="11269" width="7.375" style="3520" customWidth="1"/>
    <col min="11270" max="11270" width="3.5" style="3520" customWidth="1"/>
    <col min="11271" max="11271" width="19.375" style="3520" customWidth="1"/>
    <col min="11272" max="11272" width="19.5" style="3520" customWidth="1"/>
    <col min="11273" max="11273" width="8.625" style="3520" customWidth="1"/>
    <col min="11274" max="11274" width="10.5" style="3520" customWidth="1"/>
    <col min="11275" max="11275" width="4.875" style="3520" customWidth="1"/>
    <col min="11276" max="11276" width="16.375" style="3520" customWidth="1"/>
    <col min="11277" max="11280" width="8.125" style="3520" customWidth="1"/>
    <col min="11281" max="11520" width="9" style="3520"/>
    <col min="11521" max="11521" width="6.375" style="3520" customWidth="1"/>
    <col min="11522" max="11522" width="19.375" style="3520" customWidth="1"/>
    <col min="11523" max="11523" width="6.25" style="3520" customWidth="1"/>
    <col min="11524" max="11524" width="6.375" style="3520" customWidth="1"/>
    <col min="11525" max="11525" width="7.375" style="3520" customWidth="1"/>
    <col min="11526" max="11526" width="3.5" style="3520" customWidth="1"/>
    <col min="11527" max="11527" width="19.375" style="3520" customWidth="1"/>
    <col min="11528" max="11528" width="19.5" style="3520" customWidth="1"/>
    <col min="11529" max="11529" width="8.625" style="3520" customWidth="1"/>
    <col min="11530" max="11530" width="10.5" style="3520" customWidth="1"/>
    <col min="11531" max="11531" width="4.875" style="3520" customWidth="1"/>
    <col min="11532" max="11532" width="16.375" style="3520" customWidth="1"/>
    <col min="11533" max="11536" width="8.125" style="3520" customWidth="1"/>
    <col min="11537" max="11776" width="9" style="3520"/>
    <col min="11777" max="11777" width="6.375" style="3520" customWidth="1"/>
    <col min="11778" max="11778" width="19.375" style="3520" customWidth="1"/>
    <col min="11779" max="11779" width="6.25" style="3520" customWidth="1"/>
    <col min="11780" max="11780" width="6.375" style="3520" customWidth="1"/>
    <col min="11781" max="11781" width="7.375" style="3520" customWidth="1"/>
    <col min="11782" max="11782" width="3.5" style="3520" customWidth="1"/>
    <col min="11783" max="11783" width="19.375" style="3520" customWidth="1"/>
    <col min="11784" max="11784" width="19.5" style="3520" customWidth="1"/>
    <col min="11785" max="11785" width="8.625" style="3520" customWidth="1"/>
    <col min="11786" max="11786" width="10.5" style="3520" customWidth="1"/>
    <col min="11787" max="11787" width="4.875" style="3520" customWidth="1"/>
    <col min="11788" max="11788" width="16.375" style="3520" customWidth="1"/>
    <col min="11789" max="11792" width="8.125" style="3520" customWidth="1"/>
    <col min="11793" max="12032" width="9" style="3520"/>
    <col min="12033" max="12033" width="6.375" style="3520" customWidth="1"/>
    <col min="12034" max="12034" width="19.375" style="3520" customWidth="1"/>
    <col min="12035" max="12035" width="6.25" style="3520" customWidth="1"/>
    <col min="12036" max="12036" width="6.375" style="3520" customWidth="1"/>
    <col min="12037" max="12037" width="7.375" style="3520" customWidth="1"/>
    <col min="12038" max="12038" width="3.5" style="3520" customWidth="1"/>
    <col min="12039" max="12039" width="19.375" style="3520" customWidth="1"/>
    <col min="12040" max="12040" width="19.5" style="3520" customWidth="1"/>
    <col min="12041" max="12041" width="8.625" style="3520" customWidth="1"/>
    <col min="12042" max="12042" width="10.5" style="3520" customWidth="1"/>
    <col min="12043" max="12043" width="4.875" style="3520" customWidth="1"/>
    <col min="12044" max="12044" width="16.375" style="3520" customWidth="1"/>
    <col min="12045" max="12048" width="8.125" style="3520" customWidth="1"/>
    <col min="12049" max="12288" width="9" style="3520"/>
    <col min="12289" max="12289" width="6.375" style="3520" customWidth="1"/>
    <col min="12290" max="12290" width="19.375" style="3520" customWidth="1"/>
    <col min="12291" max="12291" width="6.25" style="3520" customWidth="1"/>
    <col min="12292" max="12292" width="6.375" style="3520" customWidth="1"/>
    <col min="12293" max="12293" width="7.375" style="3520" customWidth="1"/>
    <col min="12294" max="12294" width="3.5" style="3520" customWidth="1"/>
    <col min="12295" max="12295" width="19.375" style="3520" customWidth="1"/>
    <col min="12296" max="12296" width="19.5" style="3520" customWidth="1"/>
    <col min="12297" max="12297" width="8.625" style="3520" customWidth="1"/>
    <col min="12298" max="12298" width="10.5" style="3520" customWidth="1"/>
    <col min="12299" max="12299" width="4.875" style="3520" customWidth="1"/>
    <col min="12300" max="12300" width="16.375" style="3520" customWidth="1"/>
    <col min="12301" max="12304" width="8.125" style="3520" customWidth="1"/>
    <col min="12305" max="12544" width="9" style="3520"/>
    <col min="12545" max="12545" width="6.375" style="3520" customWidth="1"/>
    <col min="12546" max="12546" width="19.375" style="3520" customWidth="1"/>
    <col min="12547" max="12547" width="6.25" style="3520" customWidth="1"/>
    <col min="12548" max="12548" width="6.375" style="3520" customWidth="1"/>
    <col min="12549" max="12549" width="7.375" style="3520" customWidth="1"/>
    <col min="12550" max="12550" width="3.5" style="3520" customWidth="1"/>
    <col min="12551" max="12551" width="19.375" style="3520" customWidth="1"/>
    <col min="12552" max="12552" width="19.5" style="3520" customWidth="1"/>
    <col min="12553" max="12553" width="8.625" style="3520" customWidth="1"/>
    <col min="12554" max="12554" width="10.5" style="3520" customWidth="1"/>
    <col min="12555" max="12555" width="4.875" style="3520" customWidth="1"/>
    <col min="12556" max="12556" width="16.375" style="3520" customWidth="1"/>
    <col min="12557" max="12560" width="8.125" style="3520" customWidth="1"/>
    <col min="12561" max="12800" width="9" style="3520"/>
    <col min="12801" max="12801" width="6.375" style="3520" customWidth="1"/>
    <col min="12802" max="12802" width="19.375" style="3520" customWidth="1"/>
    <col min="12803" max="12803" width="6.25" style="3520" customWidth="1"/>
    <col min="12804" max="12804" width="6.375" style="3520" customWidth="1"/>
    <col min="12805" max="12805" width="7.375" style="3520" customWidth="1"/>
    <col min="12806" max="12806" width="3.5" style="3520" customWidth="1"/>
    <col min="12807" max="12807" width="19.375" style="3520" customWidth="1"/>
    <col min="12808" max="12808" width="19.5" style="3520" customWidth="1"/>
    <col min="12809" max="12809" width="8.625" style="3520" customWidth="1"/>
    <col min="12810" max="12810" width="10.5" style="3520" customWidth="1"/>
    <col min="12811" max="12811" width="4.875" style="3520" customWidth="1"/>
    <col min="12812" max="12812" width="16.375" style="3520" customWidth="1"/>
    <col min="12813" max="12816" width="8.125" style="3520" customWidth="1"/>
    <col min="12817" max="13056" width="9" style="3520"/>
    <col min="13057" max="13057" width="6.375" style="3520" customWidth="1"/>
    <col min="13058" max="13058" width="19.375" style="3520" customWidth="1"/>
    <col min="13059" max="13059" width="6.25" style="3520" customWidth="1"/>
    <col min="13060" max="13060" width="6.375" style="3520" customWidth="1"/>
    <col min="13061" max="13061" width="7.375" style="3520" customWidth="1"/>
    <col min="13062" max="13062" width="3.5" style="3520" customWidth="1"/>
    <col min="13063" max="13063" width="19.375" style="3520" customWidth="1"/>
    <col min="13064" max="13064" width="19.5" style="3520" customWidth="1"/>
    <col min="13065" max="13065" width="8.625" style="3520" customWidth="1"/>
    <col min="13066" max="13066" width="10.5" style="3520" customWidth="1"/>
    <col min="13067" max="13067" width="4.875" style="3520" customWidth="1"/>
    <col min="13068" max="13068" width="16.375" style="3520" customWidth="1"/>
    <col min="13069" max="13072" width="8.125" style="3520" customWidth="1"/>
    <col min="13073" max="13312" width="9" style="3520"/>
    <col min="13313" max="13313" width="6.375" style="3520" customWidth="1"/>
    <col min="13314" max="13314" width="19.375" style="3520" customWidth="1"/>
    <col min="13315" max="13315" width="6.25" style="3520" customWidth="1"/>
    <col min="13316" max="13316" width="6.375" style="3520" customWidth="1"/>
    <col min="13317" max="13317" width="7.375" style="3520" customWidth="1"/>
    <col min="13318" max="13318" width="3.5" style="3520" customWidth="1"/>
    <col min="13319" max="13319" width="19.375" style="3520" customWidth="1"/>
    <col min="13320" max="13320" width="19.5" style="3520" customWidth="1"/>
    <col min="13321" max="13321" width="8.625" style="3520" customWidth="1"/>
    <col min="13322" max="13322" width="10.5" style="3520" customWidth="1"/>
    <col min="13323" max="13323" width="4.875" style="3520" customWidth="1"/>
    <col min="13324" max="13324" width="16.375" style="3520" customWidth="1"/>
    <col min="13325" max="13328" width="8.125" style="3520" customWidth="1"/>
    <col min="13329" max="13568" width="9" style="3520"/>
    <col min="13569" max="13569" width="6.375" style="3520" customWidth="1"/>
    <col min="13570" max="13570" width="19.375" style="3520" customWidth="1"/>
    <col min="13571" max="13571" width="6.25" style="3520" customWidth="1"/>
    <col min="13572" max="13572" width="6.375" style="3520" customWidth="1"/>
    <col min="13573" max="13573" width="7.375" style="3520" customWidth="1"/>
    <col min="13574" max="13574" width="3.5" style="3520" customWidth="1"/>
    <col min="13575" max="13575" width="19.375" style="3520" customWidth="1"/>
    <col min="13576" max="13576" width="19.5" style="3520" customWidth="1"/>
    <col min="13577" max="13577" width="8.625" style="3520" customWidth="1"/>
    <col min="13578" max="13578" width="10.5" style="3520" customWidth="1"/>
    <col min="13579" max="13579" width="4.875" style="3520" customWidth="1"/>
    <col min="13580" max="13580" width="16.375" style="3520" customWidth="1"/>
    <col min="13581" max="13584" width="8.125" style="3520" customWidth="1"/>
    <col min="13585" max="13824" width="9" style="3520"/>
    <col min="13825" max="13825" width="6.375" style="3520" customWidth="1"/>
    <col min="13826" max="13826" width="19.375" style="3520" customWidth="1"/>
    <col min="13827" max="13827" width="6.25" style="3520" customWidth="1"/>
    <col min="13828" max="13828" width="6.375" style="3520" customWidth="1"/>
    <col min="13829" max="13829" width="7.375" style="3520" customWidth="1"/>
    <col min="13830" max="13830" width="3.5" style="3520" customWidth="1"/>
    <col min="13831" max="13831" width="19.375" style="3520" customWidth="1"/>
    <col min="13832" max="13832" width="19.5" style="3520" customWidth="1"/>
    <col min="13833" max="13833" width="8.625" style="3520" customWidth="1"/>
    <col min="13834" max="13834" width="10.5" style="3520" customWidth="1"/>
    <col min="13835" max="13835" width="4.875" style="3520" customWidth="1"/>
    <col min="13836" max="13836" width="16.375" style="3520" customWidth="1"/>
    <col min="13837" max="13840" width="8.125" style="3520" customWidth="1"/>
    <col min="13841" max="14080" width="9" style="3520"/>
    <col min="14081" max="14081" width="6.375" style="3520" customWidth="1"/>
    <col min="14082" max="14082" width="19.375" style="3520" customWidth="1"/>
    <col min="14083" max="14083" width="6.25" style="3520" customWidth="1"/>
    <col min="14084" max="14084" width="6.375" style="3520" customWidth="1"/>
    <col min="14085" max="14085" width="7.375" style="3520" customWidth="1"/>
    <col min="14086" max="14086" width="3.5" style="3520" customWidth="1"/>
    <col min="14087" max="14087" width="19.375" style="3520" customWidth="1"/>
    <col min="14088" max="14088" width="19.5" style="3520" customWidth="1"/>
    <col min="14089" max="14089" width="8.625" style="3520" customWidth="1"/>
    <col min="14090" max="14090" width="10.5" style="3520" customWidth="1"/>
    <col min="14091" max="14091" width="4.875" style="3520" customWidth="1"/>
    <col min="14092" max="14092" width="16.375" style="3520" customWidth="1"/>
    <col min="14093" max="14096" width="8.125" style="3520" customWidth="1"/>
    <col min="14097" max="14336" width="9" style="3520"/>
    <col min="14337" max="14337" width="6.375" style="3520" customWidth="1"/>
    <col min="14338" max="14338" width="19.375" style="3520" customWidth="1"/>
    <col min="14339" max="14339" width="6.25" style="3520" customWidth="1"/>
    <col min="14340" max="14340" width="6.375" style="3520" customWidth="1"/>
    <col min="14341" max="14341" width="7.375" style="3520" customWidth="1"/>
    <col min="14342" max="14342" width="3.5" style="3520" customWidth="1"/>
    <col min="14343" max="14343" width="19.375" style="3520" customWidth="1"/>
    <col min="14344" max="14344" width="19.5" style="3520" customWidth="1"/>
    <col min="14345" max="14345" width="8.625" style="3520" customWidth="1"/>
    <col min="14346" max="14346" width="10.5" style="3520" customWidth="1"/>
    <col min="14347" max="14347" width="4.875" style="3520" customWidth="1"/>
    <col min="14348" max="14348" width="16.375" style="3520" customWidth="1"/>
    <col min="14349" max="14352" width="8.125" style="3520" customWidth="1"/>
    <col min="14353" max="14592" width="9" style="3520"/>
    <col min="14593" max="14593" width="6.375" style="3520" customWidth="1"/>
    <col min="14594" max="14594" width="19.375" style="3520" customWidth="1"/>
    <col min="14595" max="14595" width="6.25" style="3520" customWidth="1"/>
    <col min="14596" max="14596" width="6.375" style="3520" customWidth="1"/>
    <col min="14597" max="14597" width="7.375" style="3520" customWidth="1"/>
    <col min="14598" max="14598" width="3.5" style="3520" customWidth="1"/>
    <col min="14599" max="14599" width="19.375" style="3520" customWidth="1"/>
    <col min="14600" max="14600" width="19.5" style="3520" customWidth="1"/>
    <col min="14601" max="14601" width="8.625" style="3520" customWidth="1"/>
    <col min="14602" max="14602" width="10.5" style="3520" customWidth="1"/>
    <col min="14603" max="14603" width="4.875" style="3520" customWidth="1"/>
    <col min="14604" max="14604" width="16.375" style="3520" customWidth="1"/>
    <col min="14605" max="14608" width="8.125" style="3520" customWidth="1"/>
    <col min="14609" max="14848" width="9" style="3520"/>
    <col min="14849" max="14849" width="6.375" style="3520" customWidth="1"/>
    <col min="14850" max="14850" width="19.375" style="3520" customWidth="1"/>
    <col min="14851" max="14851" width="6.25" style="3520" customWidth="1"/>
    <col min="14852" max="14852" width="6.375" style="3520" customWidth="1"/>
    <col min="14853" max="14853" width="7.375" style="3520" customWidth="1"/>
    <col min="14854" max="14854" width="3.5" style="3520" customWidth="1"/>
    <col min="14855" max="14855" width="19.375" style="3520" customWidth="1"/>
    <col min="14856" max="14856" width="19.5" style="3520" customWidth="1"/>
    <col min="14857" max="14857" width="8.625" style="3520" customWidth="1"/>
    <col min="14858" max="14858" width="10.5" style="3520" customWidth="1"/>
    <col min="14859" max="14859" width="4.875" style="3520" customWidth="1"/>
    <col min="14860" max="14860" width="16.375" style="3520" customWidth="1"/>
    <col min="14861" max="14864" width="8.125" style="3520" customWidth="1"/>
    <col min="14865" max="15104" width="9" style="3520"/>
    <col min="15105" max="15105" width="6.375" style="3520" customWidth="1"/>
    <col min="15106" max="15106" width="19.375" style="3520" customWidth="1"/>
    <col min="15107" max="15107" width="6.25" style="3520" customWidth="1"/>
    <col min="15108" max="15108" width="6.375" style="3520" customWidth="1"/>
    <col min="15109" max="15109" width="7.375" style="3520" customWidth="1"/>
    <col min="15110" max="15110" width="3.5" style="3520" customWidth="1"/>
    <col min="15111" max="15111" width="19.375" style="3520" customWidth="1"/>
    <col min="15112" max="15112" width="19.5" style="3520" customWidth="1"/>
    <col min="15113" max="15113" width="8.625" style="3520" customWidth="1"/>
    <col min="15114" max="15114" width="10.5" style="3520" customWidth="1"/>
    <col min="15115" max="15115" width="4.875" style="3520" customWidth="1"/>
    <col min="15116" max="15116" width="16.375" style="3520" customWidth="1"/>
    <col min="15117" max="15120" width="8.125" style="3520" customWidth="1"/>
    <col min="15121" max="15360" width="9" style="3520"/>
    <col min="15361" max="15361" width="6.375" style="3520" customWidth="1"/>
    <col min="15362" max="15362" width="19.375" style="3520" customWidth="1"/>
    <col min="15363" max="15363" width="6.25" style="3520" customWidth="1"/>
    <col min="15364" max="15364" width="6.375" style="3520" customWidth="1"/>
    <col min="15365" max="15365" width="7.375" style="3520" customWidth="1"/>
    <col min="15366" max="15366" width="3.5" style="3520" customWidth="1"/>
    <col min="15367" max="15367" width="19.375" style="3520" customWidth="1"/>
    <col min="15368" max="15368" width="19.5" style="3520" customWidth="1"/>
    <col min="15369" max="15369" width="8.625" style="3520" customWidth="1"/>
    <col min="15370" max="15370" width="10.5" style="3520" customWidth="1"/>
    <col min="15371" max="15371" width="4.875" style="3520" customWidth="1"/>
    <col min="15372" max="15372" width="16.375" style="3520" customWidth="1"/>
    <col min="15373" max="15376" width="8.125" style="3520" customWidth="1"/>
    <col min="15377" max="15616" width="9" style="3520"/>
    <col min="15617" max="15617" width="6.375" style="3520" customWidth="1"/>
    <col min="15618" max="15618" width="19.375" style="3520" customWidth="1"/>
    <col min="15619" max="15619" width="6.25" style="3520" customWidth="1"/>
    <col min="15620" max="15620" width="6.375" style="3520" customWidth="1"/>
    <col min="15621" max="15621" width="7.375" style="3520" customWidth="1"/>
    <col min="15622" max="15622" width="3.5" style="3520" customWidth="1"/>
    <col min="15623" max="15623" width="19.375" style="3520" customWidth="1"/>
    <col min="15624" max="15624" width="19.5" style="3520" customWidth="1"/>
    <col min="15625" max="15625" width="8.625" style="3520" customWidth="1"/>
    <col min="15626" max="15626" width="10.5" style="3520" customWidth="1"/>
    <col min="15627" max="15627" width="4.875" style="3520" customWidth="1"/>
    <col min="15628" max="15628" width="16.375" style="3520" customWidth="1"/>
    <col min="15629" max="15632" width="8.125" style="3520" customWidth="1"/>
    <col min="15633" max="15872" width="9" style="3520"/>
    <col min="15873" max="15873" width="6.375" style="3520" customWidth="1"/>
    <col min="15874" max="15874" width="19.375" style="3520" customWidth="1"/>
    <col min="15875" max="15875" width="6.25" style="3520" customWidth="1"/>
    <col min="15876" max="15876" width="6.375" style="3520" customWidth="1"/>
    <col min="15877" max="15877" width="7.375" style="3520" customWidth="1"/>
    <col min="15878" max="15878" width="3.5" style="3520" customWidth="1"/>
    <col min="15879" max="15879" width="19.375" style="3520" customWidth="1"/>
    <col min="15880" max="15880" width="19.5" style="3520" customWidth="1"/>
    <col min="15881" max="15881" width="8.625" style="3520" customWidth="1"/>
    <col min="15882" max="15882" width="10.5" style="3520" customWidth="1"/>
    <col min="15883" max="15883" width="4.875" style="3520" customWidth="1"/>
    <col min="15884" max="15884" width="16.375" style="3520" customWidth="1"/>
    <col min="15885" max="15888" width="8.125" style="3520" customWidth="1"/>
    <col min="15889" max="16128" width="9" style="3520"/>
    <col min="16129" max="16129" width="6.375" style="3520" customWidth="1"/>
    <col min="16130" max="16130" width="19.375" style="3520" customWidth="1"/>
    <col min="16131" max="16131" width="6.25" style="3520" customWidth="1"/>
    <col min="16132" max="16132" width="6.375" style="3520" customWidth="1"/>
    <col min="16133" max="16133" width="7.375" style="3520" customWidth="1"/>
    <col min="16134" max="16134" width="3.5" style="3520" customWidth="1"/>
    <col min="16135" max="16135" width="19.375" style="3520" customWidth="1"/>
    <col min="16136" max="16136" width="19.5" style="3520" customWidth="1"/>
    <col min="16137" max="16137" width="8.625" style="3520" customWidth="1"/>
    <col min="16138" max="16138" width="10.5" style="3520" customWidth="1"/>
    <col min="16139" max="16139" width="4.875" style="3520" customWidth="1"/>
    <col min="16140" max="16140" width="16.375" style="3520" customWidth="1"/>
    <col min="16141" max="16144" width="8.125" style="3520" customWidth="1"/>
    <col min="16145" max="16384" width="9" style="3520"/>
  </cols>
  <sheetData>
    <row r="1" spans="1:16">
      <c r="A1" s="3913" t="s">
        <v>3372</v>
      </c>
      <c r="B1" s="3913"/>
      <c r="C1" s="3913"/>
      <c r="D1" s="3913"/>
      <c r="E1" s="3913"/>
      <c r="F1" s="3913"/>
      <c r="G1" s="3913"/>
      <c r="H1" s="3913"/>
      <c r="I1" s="3913"/>
      <c r="K1" s="3914" t="s">
        <v>3373</v>
      </c>
      <c r="L1" s="3451" t="s">
        <v>3374</v>
      </c>
      <c r="M1" s="3452">
        <v>0</v>
      </c>
      <c r="N1" s="3519"/>
      <c r="O1" s="3519"/>
    </row>
    <row r="2" spans="1:16" ht="15.75" customHeight="1">
      <c r="A2" s="3453" t="s">
        <v>2640</v>
      </c>
      <c r="B2" s="3454" t="s">
        <v>3375</v>
      </c>
      <c r="C2" s="3886" t="s">
        <v>3376</v>
      </c>
      <c r="D2" s="3887"/>
      <c r="E2" s="3887"/>
      <c r="F2" s="3888"/>
      <c r="G2" s="3455" t="s">
        <v>3377</v>
      </c>
      <c r="H2" s="3889" t="s">
        <v>3378</v>
      </c>
      <c r="I2" s="3889"/>
      <c r="K2" s="3914"/>
      <c r="L2" s="3520"/>
    </row>
    <row r="3" spans="1:16">
      <c r="A3" s="3455" t="s">
        <v>3379</v>
      </c>
      <c r="B3" s="3458" t="s">
        <v>3380</v>
      </c>
      <c r="C3" s="3886">
        <v>16690</v>
      </c>
      <c r="D3" s="3887"/>
      <c r="E3" s="3887"/>
      <c r="F3" s="3888"/>
      <c r="G3" s="3455" t="s">
        <v>3381</v>
      </c>
      <c r="H3" s="3458" t="s">
        <v>3382</v>
      </c>
      <c r="I3" s="3459">
        <v>1</v>
      </c>
      <c r="K3" s="3914"/>
      <c r="L3" s="3451" t="s">
        <v>3383</v>
      </c>
      <c r="M3" s="3456" t="s">
        <v>3384</v>
      </c>
      <c r="N3" s="3457"/>
      <c r="O3" s="3457"/>
    </row>
    <row r="4" spans="1:16">
      <c r="A4" s="3889" t="s">
        <v>3385</v>
      </c>
      <c r="B4" s="3890" t="s">
        <v>3386</v>
      </c>
      <c r="C4" s="3915">
        <f>ROUND(C3*(I4-I6)/(1-((1+I6)/(1+I4))^I5),0)</f>
        <v>787</v>
      </c>
      <c r="D4" s="3916"/>
      <c r="E4" s="3916"/>
      <c r="F4" s="3917"/>
      <c r="G4" s="3889" t="s">
        <v>3387</v>
      </c>
      <c r="H4" s="3460" t="s">
        <v>3388</v>
      </c>
      <c r="I4" s="3461">
        <v>0.05</v>
      </c>
      <c r="K4" s="3914"/>
      <c r="L4" s="3451" t="s">
        <v>3389</v>
      </c>
      <c r="M4" s="3521">
        <f>ROUND(1-(1-M1)*M2/M3,2)</f>
        <v>1</v>
      </c>
      <c r="N4" s="3457"/>
      <c r="O4" s="3457"/>
    </row>
    <row r="5" spans="1:16" s="3522" customFormat="1" ht="18" customHeight="1">
      <c r="A5" s="3889"/>
      <c r="B5" s="3890"/>
      <c r="C5" s="3918"/>
      <c r="D5" s="3919"/>
      <c r="E5" s="3919"/>
      <c r="F5" s="3920"/>
      <c r="G5" s="3889"/>
      <c r="H5" s="3458" t="s">
        <v>3390</v>
      </c>
      <c r="I5" s="3462">
        <v>40</v>
      </c>
      <c r="J5" s="3463">
        <v>1986</v>
      </c>
      <c r="K5" s="3914"/>
      <c r="L5" s="3451" t="s">
        <v>3391</v>
      </c>
      <c r="M5" s="3464">
        <v>0.5</v>
      </c>
      <c r="N5" s="3457"/>
      <c r="O5" s="3457"/>
    </row>
    <row r="6" spans="1:16" s="3522" customFormat="1" ht="18" customHeight="1">
      <c r="A6" s="3889"/>
      <c r="B6" s="3890"/>
      <c r="C6" s="3921"/>
      <c r="D6" s="3922"/>
      <c r="E6" s="3922"/>
      <c r="F6" s="3923"/>
      <c r="G6" s="3889"/>
      <c r="H6" s="3458" t="s">
        <v>3392</v>
      </c>
      <c r="I6" s="3461">
        <v>1.4999999999999999E-2</v>
      </c>
      <c r="J6" s="3465">
        <v>23</v>
      </c>
      <c r="K6" s="3924" t="s">
        <v>3393</v>
      </c>
      <c r="L6" s="3466" t="s">
        <v>3394</v>
      </c>
      <c r="M6" s="3467" t="s">
        <v>3395</v>
      </c>
      <c r="N6" s="3467" t="s">
        <v>3396</v>
      </c>
      <c r="O6" s="3467" t="s">
        <v>3397</v>
      </c>
      <c r="P6" s="3467" t="s">
        <v>3398</v>
      </c>
    </row>
    <row r="7" spans="1:16" s="3522" customFormat="1" ht="18" customHeight="1">
      <c r="A7" s="3455" t="s">
        <v>3399</v>
      </c>
      <c r="B7" s="3458" t="s">
        <v>3400</v>
      </c>
      <c r="C7" s="3886">
        <f>ROUND(C23*I7,0)</f>
        <v>242</v>
      </c>
      <c r="D7" s="3887"/>
      <c r="E7" s="3887"/>
      <c r="F7" s="3888"/>
      <c r="G7" s="3455" t="s">
        <v>3401</v>
      </c>
      <c r="H7" s="3458" t="s">
        <v>3402</v>
      </c>
      <c r="I7" s="3468">
        <v>1</v>
      </c>
      <c r="K7" s="3924"/>
      <c r="L7" s="3466" t="s">
        <v>3403</v>
      </c>
      <c r="M7" s="3467">
        <v>100</v>
      </c>
      <c r="N7" s="3467" t="s">
        <v>3404</v>
      </c>
      <c r="O7" s="3467">
        <v>80</v>
      </c>
      <c r="P7" s="3469">
        <v>0.3</v>
      </c>
    </row>
    <row r="8" spans="1:16" s="3522" customFormat="1" ht="18" customHeight="1">
      <c r="A8" s="3453" t="s">
        <v>3405</v>
      </c>
      <c r="B8" s="3458" t="s">
        <v>3406</v>
      </c>
      <c r="C8" s="3886">
        <f>ROUND(I8*I3,0)</f>
        <v>0</v>
      </c>
      <c r="D8" s="3887"/>
      <c r="E8" s="3887"/>
      <c r="F8" s="3888"/>
      <c r="G8" s="3455" t="s">
        <v>3407</v>
      </c>
      <c r="H8" s="3458" t="s">
        <v>3408</v>
      </c>
      <c r="I8" s="3455">
        <v>0</v>
      </c>
      <c r="J8" s="3470" t="e">
        <f>D36</f>
        <v>#REF!</v>
      </c>
      <c r="K8" s="3924"/>
      <c r="L8" s="3466" t="s">
        <v>3409</v>
      </c>
      <c r="M8" s="3467">
        <v>100</v>
      </c>
      <c r="N8" s="3467" t="s">
        <v>3404</v>
      </c>
      <c r="O8" s="3467">
        <v>80</v>
      </c>
      <c r="P8" s="3469">
        <v>0.5</v>
      </c>
    </row>
    <row r="9" spans="1:16" s="3522" customFormat="1" ht="18" customHeight="1">
      <c r="A9" s="3453" t="s">
        <v>3410</v>
      </c>
      <c r="B9" s="3458" t="s">
        <v>3411</v>
      </c>
      <c r="C9" s="3886">
        <f>ROUND(C8*H9,0)</f>
        <v>0</v>
      </c>
      <c r="D9" s="3887"/>
      <c r="E9" s="3887"/>
      <c r="F9" s="3888"/>
      <c r="G9" s="3455" t="s">
        <v>3412</v>
      </c>
      <c r="H9" s="3910">
        <v>0.03</v>
      </c>
      <c r="I9" s="3910"/>
      <c r="J9" s="3470">
        <f>D37</f>
        <v>2.69</v>
      </c>
      <c r="K9" s="3924"/>
      <c r="L9" s="3466" t="s">
        <v>3413</v>
      </c>
      <c r="M9" s="3467">
        <v>100</v>
      </c>
      <c r="N9" s="3467" t="s">
        <v>3404</v>
      </c>
      <c r="O9" s="3467">
        <v>80</v>
      </c>
      <c r="P9" s="3469">
        <f>1-P7-P8</f>
        <v>0.19999999999999996</v>
      </c>
    </row>
    <row r="10" spans="1:16" s="3522" customFormat="1" ht="18" customHeight="1">
      <c r="A10" s="3453" t="s">
        <v>3414</v>
      </c>
      <c r="B10" s="3458" t="s">
        <v>3415</v>
      </c>
      <c r="C10" s="3886">
        <f>ROUND(C8*H10,0)</f>
        <v>0</v>
      </c>
      <c r="D10" s="3887"/>
      <c r="E10" s="3887"/>
      <c r="F10" s="3888"/>
      <c r="G10" s="3455" t="s">
        <v>3412</v>
      </c>
      <c r="H10" s="3910">
        <v>0.1</v>
      </c>
      <c r="I10" s="3910"/>
      <c r="J10" s="3470" t="e">
        <f>D38</f>
        <v>#REF!</v>
      </c>
      <c r="K10" s="3924"/>
      <c r="L10" s="3471" t="s">
        <v>3391</v>
      </c>
      <c r="M10" s="3472">
        <f>1-M5</f>
        <v>0.5</v>
      </c>
      <c r="N10" s="3467" t="s">
        <v>3389</v>
      </c>
      <c r="O10" s="3471">
        <f>ROUND((O7*P7+O8*P8+O9*P9)/100,2)</f>
        <v>0.8</v>
      </c>
      <c r="P10" s="3473"/>
    </row>
    <row r="11" spans="1:16" s="3522" customFormat="1" ht="29.25" customHeight="1">
      <c r="A11" s="3453" t="s">
        <v>3416</v>
      </c>
      <c r="B11" s="3458" t="s">
        <v>3417</v>
      </c>
      <c r="C11" s="3886">
        <f>ROUND(I11*I3,0)</f>
        <v>200</v>
      </c>
      <c r="D11" s="3887"/>
      <c r="E11" s="3887"/>
      <c r="F11" s="3888"/>
      <c r="G11" s="3455" t="s">
        <v>3418</v>
      </c>
      <c r="H11" s="3458" t="s">
        <v>3419</v>
      </c>
      <c r="I11" s="3455">
        <v>200</v>
      </c>
      <c r="J11" s="3463"/>
      <c r="K11" s="3518"/>
      <c r="L11" s="3518"/>
    </row>
    <row r="12" spans="1:16" s="3522" customFormat="1" ht="18" customHeight="1">
      <c r="A12" s="3453" t="s">
        <v>3420</v>
      </c>
      <c r="B12" s="3458" t="s">
        <v>3421</v>
      </c>
      <c r="C12" s="3886">
        <f>ROUND(C8*H12,0)</f>
        <v>0</v>
      </c>
      <c r="D12" s="3887"/>
      <c r="E12" s="3887"/>
      <c r="F12" s="3888"/>
      <c r="G12" s="3455" t="s">
        <v>3412</v>
      </c>
      <c r="H12" s="3910">
        <v>1.4999999999999999E-2</v>
      </c>
      <c r="I12" s="3910"/>
      <c r="J12" s="3474" t="s">
        <v>3422</v>
      </c>
      <c r="M12" s="3475" t="s">
        <v>3698</v>
      </c>
      <c r="N12" s="3522">
        <v>27270</v>
      </c>
    </row>
    <row r="13" spans="1:16" s="3522" customFormat="1" ht="18" customHeight="1">
      <c r="A13" s="3453" t="s">
        <v>434</v>
      </c>
      <c r="B13" s="3458" t="s">
        <v>3423</v>
      </c>
      <c r="C13" s="3886">
        <f>SUM(C8:F12)</f>
        <v>200</v>
      </c>
      <c r="D13" s="3887"/>
      <c r="E13" s="3887"/>
      <c r="F13" s="3888"/>
      <c r="G13" s="3889" t="s">
        <v>3424</v>
      </c>
      <c r="H13" s="3889"/>
      <c r="I13" s="3889"/>
      <c r="J13" s="3474" t="s">
        <v>3425</v>
      </c>
      <c r="M13" s="3475" t="s">
        <v>3699</v>
      </c>
      <c r="N13" s="3522">
        <v>16690</v>
      </c>
    </row>
    <row r="14" spans="1:16" s="3522" customFormat="1" ht="18" customHeight="1">
      <c r="A14" s="3453" t="s">
        <v>3426</v>
      </c>
      <c r="B14" s="3458" t="s">
        <v>3427</v>
      </c>
      <c r="C14" s="3886">
        <f>ROUND(C13*H14,0)</f>
        <v>4</v>
      </c>
      <c r="D14" s="3887"/>
      <c r="E14" s="3887"/>
      <c r="F14" s="3888"/>
      <c r="G14" s="3455" t="s">
        <v>3428</v>
      </c>
      <c r="H14" s="3910">
        <v>0.02</v>
      </c>
      <c r="I14" s="3910"/>
      <c r="J14" s="3463"/>
      <c r="L14" s="3475"/>
    </row>
    <row r="15" spans="1:16" s="3522" customFormat="1" ht="18" customHeight="1">
      <c r="A15" s="3453" t="s">
        <v>389</v>
      </c>
      <c r="B15" s="3458" t="s">
        <v>3429</v>
      </c>
      <c r="C15" s="3899">
        <f>H15</f>
        <v>0.02</v>
      </c>
      <c r="D15" s="3900"/>
      <c r="E15" s="3908" t="str">
        <f>E18</f>
        <v>V</v>
      </c>
      <c r="F15" s="3909"/>
      <c r="G15" s="3455" t="s">
        <v>3430</v>
      </c>
      <c r="H15" s="3910">
        <v>0.02</v>
      </c>
      <c r="I15" s="3910"/>
      <c r="J15" s="3476"/>
      <c r="K15" s="3523"/>
    </row>
    <row r="16" spans="1:16" s="3522" customFormat="1" ht="18" customHeight="1">
      <c r="A16" s="3477" t="s">
        <v>390</v>
      </c>
      <c r="B16" s="3478" t="s">
        <v>3431</v>
      </c>
      <c r="C16" s="3479">
        <f>C17</f>
        <v>10</v>
      </c>
      <c r="D16" s="3480" t="s">
        <v>3432</v>
      </c>
      <c r="E16" s="3481">
        <f>C18</f>
        <v>9.5E-4</v>
      </c>
      <c r="F16" s="3482" t="str">
        <f>E18</f>
        <v>V</v>
      </c>
      <c r="G16" s="3886" t="s">
        <v>3433</v>
      </c>
      <c r="H16" s="3887"/>
      <c r="I16" s="3888"/>
      <c r="J16" s="3463"/>
      <c r="K16" s="3518"/>
    </row>
    <row r="17" spans="1:12" s="3522" customFormat="1" ht="18" customHeight="1">
      <c r="A17" s="3453" t="s">
        <v>3434</v>
      </c>
      <c r="B17" s="3458" t="s">
        <v>3435</v>
      </c>
      <c r="C17" s="3886">
        <f>ROUND((C13+C14)*I18*(I17/2),0)</f>
        <v>10</v>
      </c>
      <c r="D17" s="3887"/>
      <c r="E17" s="3887"/>
      <c r="F17" s="3888"/>
      <c r="G17" s="3479" t="s">
        <v>3436</v>
      </c>
      <c r="H17" s="3458" t="s">
        <v>3437</v>
      </c>
      <c r="I17" s="3455">
        <v>2</v>
      </c>
      <c r="J17" s="3474" t="s">
        <v>3438</v>
      </c>
      <c r="K17" s="3518"/>
      <c r="L17" s="3518"/>
    </row>
    <row r="18" spans="1:12" s="3522" customFormat="1" ht="18" customHeight="1">
      <c r="A18" s="3453" t="s">
        <v>3439</v>
      </c>
      <c r="B18" s="3458" t="s">
        <v>3440</v>
      </c>
      <c r="C18" s="3911">
        <f>H15*I18*I17/2</f>
        <v>9.5E-4</v>
      </c>
      <c r="D18" s="3912"/>
      <c r="E18" s="3908" t="s">
        <v>3441</v>
      </c>
      <c r="F18" s="3909"/>
      <c r="G18" s="3479" t="s">
        <v>3442</v>
      </c>
      <c r="H18" s="3458" t="s">
        <v>3443</v>
      </c>
      <c r="I18" s="3483">
        <v>4.7500000000000001E-2</v>
      </c>
      <c r="J18" s="3474" t="s">
        <v>3444</v>
      </c>
      <c r="K18" s="3518"/>
      <c r="L18" s="3518"/>
    </row>
    <row r="19" spans="1:12" s="3522" customFormat="1" ht="27" customHeight="1">
      <c r="A19" s="3453" t="s">
        <v>391</v>
      </c>
      <c r="B19" s="3458" t="s">
        <v>3445</v>
      </c>
      <c r="C19" s="3479">
        <f>C20</f>
        <v>10</v>
      </c>
      <c r="D19" s="3480" t="s">
        <v>3432</v>
      </c>
      <c r="E19" s="3480">
        <f>C21</f>
        <v>1E-3</v>
      </c>
      <c r="F19" s="3482" t="str">
        <f>E21</f>
        <v>V</v>
      </c>
      <c r="G19" s="3886" t="s">
        <v>3446</v>
      </c>
      <c r="H19" s="3887"/>
      <c r="I19" s="3888"/>
      <c r="J19" s="3463"/>
      <c r="K19" s="3518"/>
      <c r="L19" s="3518"/>
    </row>
    <row r="20" spans="1:12" s="3522" customFormat="1" ht="26.25" customHeight="1">
      <c r="A20" s="3453" t="s">
        <v>3447</v>
      </c>
      <c r="B20" s="3458" t="s">
        <v>3448</v>
      </c>
      <c r="C20" s="3886">
        <f>ROUND((C13+C14)*I20,0)</f>
        <v>10</v>
      </c>
      <c r="D20" s="3887"/>
      <c r="E20" s="3887"/>
      <c r="F20" s="3888"/>
      <c r="G20" s="3455" t="s">
        <v>3449</v>
      </c>
      <c r="H20" s="3905" t="s">
        <v>3450</v>
      </c>
      <c r="I20" s="3907">
        <v>0.05</v>
      </c>
      <c r="J20" s="3474" t="s">
        <v>3451</v>
      </c>
      <c r="K20" s="3518"/>
      <c r="L20" s="3518"/>
    </row>
    <row r="21" spans="1:12" s="3522" customFormat="1" ht="27" customHeight="1">
      <c r="A21" s="3453" t="s">
        <v>3447</v>
      </c>
      <c r="B21" s="3458" t="s">
        <v>3452</v>
      </c>
      <c r="C21" s="3899">
        <f>H15*I20</f>
        <v>1E-3</v>
      </c>
      <c r="D21" s="3900"/>
      <c r="E21" s="3908" t="s">
        <v>3441</v>
      </c>
      <c r="F21" s="3909"/>
      <c r="G21" s="3455" t="s">
        <v>3453</v>
      </c>
      <c r="H21" s="3906"/>
      <c r="I21" s="3907"/>
      <c r="J21" s="3463"/>
      <c r="K21" s="3518"/>
      <c r="L21" s="3518"/>
    </row>
    <row r="22" spans="1:12" s="3522" customFormat="1" ht="18" customHeight="1">
      <c r="A22" s="3453" t="s">
        <v>392</v>
      </c>
      <c r="B22" s="3458" t="s">
        <v>3454</v>
      </c>
      <c r="C22" s="3899">
        <f>ROUND(H22/1.05,4)</f>
        <v>5.33E-2</v>
      </c>
      <c r="D22" s="3900"/>
      <c r="E22" s="3908" t="s">
        <v>3441</v>
      </c>
      <c r="F22" s="3909"/>
      <c r="G22" s="3455" t="s">
        <v>3455</v>
      </c>
      <c r="H22" s="3910">
        <v>5.6000000000000001E-2</v>
      </c>
      <c r="I22" s="3910"/>
      <c r="J22" s="3484"/>
      <c r="K22" s="3518"/>
      <c r="L22" s="3518"/>
    </row>
    <row r="23" spans="1:12" s="3522" customFormat="1" ht="18" customHeight="1">
      <c r="A23" s="3453" t="s">
        <v>3456</v>
      </c>
      <c r="B23" s="3458" t="s">
        <v>3457</v>
      </c>
      <c r="C23" s="3886">
        <f>ROUND((C13+C14+C17+C20)/(1-H15-C18-C21-C22),0)</f>
        <v>242</v>
      </c>
      <c r="D23" s="3887"/>
      <c r="E23" s="3887"/>
      <c r="F23" s="3888"/>
      <c r="G23" s="3886" t="s">
        <v>3458</v>
      </c>
      <c r="H23" s="3887"/>
      <c r="I23" s="3888"/>
      <c r="J23" s="3484"/>
      <c r="K23" s="3518"/>
      <c r="L23" s="3518"/>
    </row>
    <row r="24" spans="1:12" s="3522" customFormat="1" ht="18" customHeight="1">
      <c r="A24" s="3453" t="s">
        <v>3459</v>
      </c>
      <c r="B24" s="3458" t="s">
        <v>3460</v>
      </c>
      <c r="C24" s="3485">
        <f>C27+C28</f>
        <v>5</v>
      </c>
      <c r="D24" s="3486" t="s">
        <v>3461</v>
      </c>
      <c r="E24" s="3901">
        <f>H25+E29+E26</f>
        <v>0.13999999999999999</v>
      </c>
      <c r="F24" s="3902"/>
      <c r="G24" s="3889" t="s">
        <v>3462</v>
      </c>
      <c r="H24" s="3889"/>
      <c r="I24" s="3889"/>
      <c r="J24" s="3484"/>
      <c r="K24" s="3518"/>
      <c r="L24" s="3518"/>
    </row>
    <row r="25" spans="1:12" s="3522" customFormat="1" ht="18" customHeight="1">
      <c r="A25" s="3453" t="s">
        <v>434</v>
      </c>
      <c r="B25" s="3458" t="s">
        <v>3463</v>
      </c>
      <c r="C25" s="3899" t="s">
        <v>3464</v>
      </c>
      <c r="D25" s="3900"/>
      <c r="E25" s="3901">
        <f>ROUND(H25/1.05,4)</f>
        <v>0.1143</v>
      </c>
      <c r="F25" s="3902"/>
      <c r="G25" s="3455" t="s">
        <v>3465</v>
      </c>
      <c r="H25" s="3897">
        <v>0.12</v>
      </c>
      <c r="I25" s="3897"/>
      <c r="J25" s="3476"/>
      <c r="K25" s="3518"/>
      <c r="L25" s="3518"/>
    </row>
    <row r="26" spans="1:12" s="3522" customFormat="1" ht="18" customHeight="1">
      <c r="A26" s="3453" t="s">
        <v>3426</v>
      </c>
      <c r="B26" s="3458" t="s">
        <v>3466</v>
      </c>
      <c r="C26" s="3899" t="s">
        <v>3464</v>
      </c>
      <c r="D26" s="3900"/>
      <c r="E26" s="3901">
        <v>0</v>
      </c>
      <c r="F26" s="3902"/>
      <c r="G26" s="3455" t="s">
        <v>3467</v>
      </c>
      <c r="H26" s="3903">
        <v>0</v>
      </c>
      <c r="I26" s="3904"/>
      <c r="J26" s="3476"/>
      <c r="K26" s="3518"/>
      <c r="L26" s="3518"/>
    </row>
    <row r="27" spans="1:12" s="3522" customFormat="1" ht="18" customHeight="1">
      <c r="A27" s="3453" t="s">
        <v>389</v>
      </c>
      <c r="B27" s="3458" t="s">
        <v>3468</v>
      </c>
      <c r="C27" s="3886">
        <f>ROUND(C23*H27,0)</f>
        <v>5</v>
      </c>
      <c r="D27" s="3887"/>
      <c r="E27" s="3887"/>
      <c r="F27" s="3888"/>
      <c r="G27" s="3455" t="s">
        <v>3469</v>
      </c>
      <c r="H27" s="3897">
        <v>0.02</v>
      </c>
      <c r="I27" s="3897"/>
      <c r="J27" s="3476"/>
      <c r="K27" s="3518"/>
      <c r="L27" s="3518"/>
    </row>
    <row r="28" spans="1:12" s="3522" customFormat="1" ht="18" customHeight="1">
      <c r="A28" s="3453" t="s">
        <v>390</v>
      </c>
      <c r="B28" s="3458" t="s">
        <v>3470</v>
      </c>
      <c r="C28" s="3886">
        <f>ROUND(C7*H28,0)</f>
        <v>0</v>
      </c>
      <c r="D28" s="3887"/>
      <c r="E28" s="3887"/>
      <c r="F28" s="3888"/>
      <c r="G28" s="3455" t="s">
        <v>3471</v>
      </c>
      <c r="H28" s="3898">
        <v>2E-3</v>
      </c>
      <c r="I28" s="3898"/>
      <c r="J28" s="3463"/>
      <c r="K28" s="3518"/>
      <c r="L28" s="3518"/>
    </row>
    <row r="29" spans="1:12" s="3522" customFormat="1" ht="18" customHeight="1">
      <c r="A29" s="3453" t="s">
        <v>391</v>
      </c>
      <c r="B29" s="3458" t="s">
        <v>3472</v>
      </c>
      <c r="C29" s="3899" t="s">
        <v>3464</v>
      </c>
      <c r="D29" s="3900"/>
      <c r="E29" s="3901">
        <f>H29</f>
        <v>0.02</v>
      </c>
      <c r="F29" s="3902"/>
      <c r="G29" s="3455" t="s">
        <v>3473</v>
      </c>
      <c r="H29" s="3897">
        <v>0.02</v>
      </c>
      <c r="I29" s="3897"/>
      <c r="J29" s="3490"/>
      <c r="K29" s="3518"/>
      <c r="L29" s="3518"/>
    </row>
    <row r="30" spans="1:12" s="3522" customFormat="1" ht="18" customHeight="1">
      <c r="A30" s="3455" t="s">
        <v>3474</v>
      </c>
      <c r="B30" s="3458" t="s">
        <v>3475</v>
      </c>
      <c r="C30" s="3886">
        <f>ROUND((C4+C24)/(1-E24),0)</f>
        <v>921</v>
      </c>
      <c r="D30" s="3887"/>
      <c r="E30" s="3887"/>
      <c r="F30" s="3888"/>
      <c r="G30" s="3889" t="s">
        <v>3476</v>
      </c>
      <c r="H30" s="3889"/>
      <c r="I30" s="3889"/>
      <c r="J30" s="3487" t="s">
        <v>3477</v>
      </c>
      <c r="K30" s="3518"/>
      <c r="L30" s="3518"/>
    </row>
    <row r="31" spans="1:12" s="3522" customFormat="1" ht="18" customHeight="1">
      <c r="A31" s="3889" t="s">
        <v>3478</v>
      </c>
      <c r="B31" s="3890" t="s">
        <v>3574</v>
      </c>
      <c r="C31" s="3891">
        <f>ROUND(C30/I31/I32/I3/30,2)</f>
        <v>2.69</v>
      </c>
      <c r="D31" s="3892"/>
      <c r="E31" s="3892"/>
      <c r="F31" s="3893"/>
      <c r="G31" s="3889" t="s">
        <v>3479</v>
      </c>
      <c r="H31" s="3458" t="s">
        <v>3480</v>
      </c>
      <c r="I31" s="3455">
        <v>12</v>
      </c>
      <c r="J31" s="3488"/>
      <c r="K31" s="3518"/>
      <c r="L31" s="3518"/>
    </row>
    <row r="32" spans="1:12" s="3522" customFormat="1" ht="18" customHeight="1">
      <c r="A32" s="3889"/>
      <c r="B32" s="3890"/>
      <c r="C32" s="3894"/>
      <c r="D32" s="3895"/>
      <c r="E32" s="3895"/>
      <c r="F32" s="3896"/>
      <c r="G32" s="3889"/>
      <c r="H32" s="3458" t="s">
        <v>3481</v>
      </c>
      <c r="I32" s="3489">
        <v>0.95</v>
      </c>
      <c r="J32" s="3490"/>
      <c r="K32" s="3518"/>
      <c r="L32" s="3518"/>
    </row>
    <row r="33" spans="1:13" s="3522" customFormat="1" ht="18" customHeight="1">
      <c r="A33" s="3520"/>
      <c r="B33" s="3524"/>
      <c r="C33" s="3520"/>
      <c r="D33" s="3520"/>
      <c r="E33" s="3520"/>
      <c r="F33" s="3520"/>
      <c r="G33" s="3525"/>
      <c r="H33" s="3520"/>
      <c r="I33" s="3520"/>
      <c r="J33" s="3463"/>
      <c r="K33" s="3518"/>
      <c r="L33" s="3518"/>
    </row>
    <row r="34" spans="1:13" s="3522" customFormat="1" ht="18" customHeight="1">
      <c r="A34" s="3520"/>
      <c r="B34" s="3882" t="s">
        <v>3557</v>
      </c>
      <c r="C34" s="3882"/>
      <c r="D34" s="3882"/>
      <c r="E34" s="3882"/>
      <c r="F34" s="3882"/>
      <c r="G34" s="3491"/>
      <c r="H34" s="3492"/>
      <c r="I34" s="3520"/>
      <c r="J34" s="3463"/>
      <c r="K34" s="3518"/>
      <c r="L34" s="3518"/>
      <c r="M34" s="3520"/>
    </row>
    <row r="35" spans="1:13" s="3522" customFormat="1" ht="18" customHeight="1">
      <c r="A35" s="3520"/>
      <c r="B35" s="3493" t="s">
        <v>3482</v>
      </c>
      <c r="C35" s="3493" t="s">
        <v>3398</v>
      </c>
      <c r="D35" s="3883" t="s">
        <v>3579</v>
      </c>
      <c r="E35" s="3883"/>
      <c r="F35" s="3883"/>
      <c r="G35" s="3491"/>
      <c r="H35" s="3879"/>
      <c r="I35" s="3879"/>
      <c r="J35" s="3484"/>
      <c r="K35" s="3520"/>
      <c r="L35" s="3520"/>
      <c r="M35" s="3520"/>
    </row>
    <row r="36" spans="1:13">
      <c r="B36" s="3493" t="s">
        <v>3483</v>
      </c>
      <c r="C36" s="3526">
        <v>1</v>
      </c>
      <c r="D36" s="3884" t="e">
        <f>'租金比较法-住宅 '!C49</f>
        <v>#REF!</v>
      </c>
      <c r="E36" s="3884"/>
      <c r="F36" s="3884"/>
      <c r="G36" s="3491" t="e">
        <f>(D36-D37)/D37</f>
        <v>#REF!</v>
      </c>
      <c r="H36" s="3527"/>
      <c r="I36" s="3528"/>
      <c r="K36" s="3520"/>
      <c r="L36" s="3520"/>
    </row>
    <row r="37" spans="1:13" ht="12.75" customHeight="1">
      <c r="B37" s="3493" t="s">
        <v>3484</v>
      </c>
      <c r="C37" s="3526">
        <f>1-C36</f>
        <v>0</v>
      </c>
      <c r="D37" s="3884">
        <f>C31</f>
        <v>2.69</v>
      </c>
      <c r="E37" s="3884"/>
      <c r="F37" s="3884"/>
      <c r="G37" s="3491"/>
      <c r="H37" s="3491"/>
      <c r="I37" s="3491"/>
      <c r="J37" s="3520"/>
      <c r="K37" s="3520"/>
      <c r="L37" s="3520"/>
    </row>
    <row r="38" spans="1:13" ht="22.5" customHeight="1">
      <c r="B38" s="3883" t="s">
        <v>3573</v>
      </c>
      <c r="C38" s="3883"/>
      <c r="D38" s="3885" t="e">
        <f>ROUND(C36*D36+C37*D37,2)</f>
        <v>#REF!</v>
      </c>
      <c r="E38" s="3885"/>
      <c r="F38" s="3885"/>
      <c r="G38" s="3881" t="s">
        <v>3558</v>
      </c>
      <c r="H38" s="3879"/>
      <c r="I38" s="3879"/>
      <c r="J38" s="3520"/>
      <c r="K38" s="3520"/>
      <c r="L38" s="3520"/>
    </row>
    <row r="39" spans="1:13" ht="22.5" hidden="1" customHeight="1">
      <c r="B39" s="3493" t="s">
        <v>3485</v>
      </c>
      <c r="C39" s="3493" t="e">
        <f>ROUND(D38*0.9,1)</f>
        <v>#REF!</v>
      </c>
      <c r="D39" s="3494" t="s">
        <v>3486</v>
      </c>
      <c r="E39" s="3880" t="e">
        <f>ROUND(D38*1.1,1)</f>
        <v>#REF!</v>
      </c>
      <c r="F39" s="3880"/>
      <c r="G39" s="3491" t="s">
        <v>3487</v>
      </c>
      <c r="H39" s="3495">
        <v>11</v>
      </c>
      <c r="J39" s="3520"/>
      <c r="K39" s="3520"/>
      <c r="L39" s="3520"/>
    </row>
    <row r="40" spans="1:13" ht="18" hidden="1" customHeight="1">
      <c r="B40" s="3493" t="s">
        <v>3488</v>
      </c>
      <c r="C40" s="3493" t="e">
        <f>ROUND(C39+H40,1)</f>
        <v>#REF!</v>
      </c>
      <c r="D40" s="3494" t="s">
        <v>3486</v>
      </c>
      <c r="E40" s="3880" t="e">
        <f>ROUND(E39+H40,1)</f>
        <v>#REF!</v>
      </c>
      <c r="F40" s="3880"/>
      <c r="G40" s="3529" t="s">
        <v>3489</v>
      </c>
      <c r="H40" s="3496">
        <v>0.2</v>
      </c>
      <c r="J40" s="3520"/>
      <c r="K40" s="3520"/>
      <c r="L40" s="3520"/>
    </row>
    <row r="41" spans="1:13" ht="18" customHeight="1">
      <c r="B41" s="3878" t="s">
        <v>3571</v>
      </c>
      <c r="C41" s="3878"/>
      <c r="D41" s="3878" t="e">
        <f>ROUND(D38*I3,0)</f>
        <v>#REF!</v>
      </c>
      <c r="E41" s="3878"/>
      <c r="F41" s="3878"/>
      <c r="G41" s="3491"/>
      <c r="H41" s="3491"/>
      <c r="I41" s="3491"/>
      <c r="J41" s="3520"/>
    </row>
    <row r="42" spans="1:13" ht="18" hidden="1" customHeight="1">
      <c r="B42" s="3539" t="s">
        <v>3490</v>
      </c>
      <c r="C42" s="3540"/>
      <c r="D42" s="3492"/>
      <c r="E42" s="3491" t="s">
        <v>3491</v>
      </c>
      <c r="F42" s="3492"/>
      <c r="G42" s="3491"/>
      <c r="H42" s="3491" t="s">
        <v>3492</v>
      </c>
      <c r="I42" s="3525"/>
      <c r="J42" s="3520"/>
    </row>
    <row r="43" spans="1:13" ht="18" customHeight="1">
      <c r="B43" s="3878" t="s">
        <v>3582</v>
      </c>
      <c r="C43" s="3878"/>
      <c r="D43" s="3878" t="e">
        <f>ROUND(D41*(1+G43),0)</f>
        <v>#REF!</v>
      </c>
      <c r="E43" s="3878"/>
      <c r="F43" s="3878"/>
      <c r="G43" s="3541">
        <v>0.03</v>
      </c>
      <c r="H43" s="3542" t="s">
        <v>3576</v>
      </c>
      <c r="I43" s="3525"/>
      <c r="J43" s="3520"/>
    </row>
    <row r="44" spans="1:13" ht="13.5" customHeight="1">
      <c r="B44" s="3879" t="s">
        <v>3570</v>
      </c>
      <c r="C44" s="3879"/>
      <c r="D44" s="3879">
        <v>9000</v>
      </c>
      <c r="E44" s="3879"/>
      <c r="F44" s="3879"/>
      <c r="H44" s="3536" t="e">
        <f>D38+#REF!+#REF!</f>
        <v>#REF!</v>
      </c>
      <c r="I44" s="3525"/>
    </row>
    <row r="45" spans="1:13">
      <c r="B45" s="3925" t="s">
        <v>3572</v>
      </c>
      <c r="C45" s="3925"/>
      <c r="D45" s="3925">
        <v>9500</v>
      </c>
      <c r="E45" s="3925"/>
      <c r="F45" s="3925"/>
      <c r="G45" s="3525">
        <f>D45+1500</f>
        <v>11000</v>
      </c>
    </row>
    <row r="46" spans="1:13" ht="13.5" hidden="1" customHeight="1">
      <c r="B46" s="3879" t="s">
        <v>3575</v>
      </c>
      <c r="C46" s="3879"/>
      <c r="D46" s="3879">
        <f>D45*24</f>
        <v>228000</v>
      </c>
      <c r="E46" s="3879"/>
      <c r="F46" s="3879"/>
    </row>
    <row r="47" spans="1:13" hidden="1">
      <c r="B47" s="3879" t="s">
        <v>3568</v>
      </c>
      <c r="C47" s="3879"/>
      <c r="D47" s="3879">
        <f>D46*G43</f>
        <v>6840</v>
      </c>
      <c r="E47" s="3879"/>
      <c r="F47" s="3879"/>
    </row>
    <row r="48" spans="1:13" hidden="1">
      <c r="B48" s="3879" t="s">
        <v>3569</v>
      </c>
      <c r="C48" s="3879"/>
      <c r="D48" s="3879">
        <f>D47/24</f>
        <v>285</v>
      </c>
      <c r="E48" s="3879"/>
      <c r="F48" s="3879"/>
    </row>
    <row r="49" spans="2:6" ht="13.5" hidden="1" customHeight="1">
      <c r="B49" s="3879" t="s">
        <v>3578</v>
      </c>
      <c r="C49" s="3879"/>
      <c r="D49" s="3879">
        <f>D45+D48</f>
        <v>9785</v>
      </c>
      <c r="E49" s="3879"/>
      <c r="F49" s="3879"/>
    </row>
    <row r="50" spans="2:6" hidden="1">
      <c r="B50" s="3879" t="s">
        <v>3577</v>
      </c>
      <c r="C50" s="3879"/>
      <c r="D50" s="3879">
        <f>D44+D48</f>
        <v>9285</v>
      </c>
      <c r="E50" s="3879"/>
      <c r="F50" s="3879"/>
    </row>
  </sheetData>
  <mergeCells count="90">
    <mergeCell ref="B50:C50"/>
    <mergeCell ref="D50:F50"/>
    <mergeCell ref="B47:C47"/>
    <mergeCell ref="D47:F47"/>
    <mergeCell ref="B48:C48"/>
    <mergeCell ref="D48:F48"/>
    <mergeCell ref="B49:C49"/>
    <mergeCell ref="D49:F49"/>
    <mergeCell ref="B44:C44"/>
    <mergeCell ref="D44:F44"/>
    <mergeCell ref="B45:C45"/>
    <mergeCell ref="D45:F45"/>
    <mergeCell ref="B46:C46"/>
    <mergeCell ref="D46:F46"/>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34:F34"/>
    <mergeCell ref="D35:F35"/>
    <mergeCell ref="D36:F36"/>
    <mergeCell ref="D37:F37"/>
    <mergeCell ref="B38:C38"/>
    <mergeCell ref="D38:F38"/>
    <mergeCell ref="B43:C43"/>
    <mergeCell ref="D43:F43"/>
    <mergeCell ref="H35:I35"/>
    <mergeCell ref="E39:F39"/>
    <mergeCell ref="E40:F40"/>
    <mergeCell ref="G38:I38"/>
    <mergeCell ref="D41:F41"/>
    <mergeCell ref="B41:C41"/>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5" t="s">
        <v>1762</v>
      </c>
      <c r="D4" s="3826"/>
      <c r="E4" s="3827" t="s">
        <v>1763</v>
      </c>
      <c r="F4" s="3828"/>
      <c r="G4" s="3825" t="s">
        <v>1764</v>
      </c>
      <c r="H4" s="3826"/>
      <c r="I4" s="3825" t="s">
        <v>1765</v>
      </c>
      <c r="J4" s="3826"/>
      <c r="K4" s="559" t="s">
        <v>1766</v>
      </c>
      <c r="L4" s="2712"/>
      <c r="M4" s="2713"/>
      <c r="N4" s="2713"/>
      <c r="O4" s="2713"/>
      <c r="P4" s="3829" t="s">
        <v>1767</v>
      </c>
      <c r="Q4" s="3830"/>
      <c r="R4" s="3835" t="s">
        <v>1763</v>
      </c>
      <c r="S4" s="3836"/>
      <c r="T4" s="3835" t="s">
        <v>1764</v>
      </c>
      <c r="U4" s="3836"/>
      <c r="V4" s="3820" t="s">
        <v>1765</v>
      </c>
      <c r="W4" s="3820"/>
      <c r="X4" s="1355"/>
      <c r="Y4" s="3835" t="s">
        <v>1767</v>
      </c>
      <c r="Z4" s="3836"/>
      <c r="AA4" s="3822" t="s">
        <v>1763</v>
      </c>
      <c r="AB4" s="3823" t="s">
        <v>1764</v>
      </c>
      <c r="AC4" s="3822" t="s">
        <v>1765</v>
      </c>
    </row>
    <row r="5" spans="1:29" ht="15">
      <c r="A5" s="358"/>
      <c r="B5" s="359"/>
      <c r="C5" s="3843" t="s">
        <v>1668</v>
      </c>
      <c r="D5" s="3844"/>
      <c r="E5" s="3855" t="s">
        <v>1669</v>
      </c>
      <c r="F5" s="3854"/>
      <c r="G5" s="3843" t="s">
        <v>1670</v>
      </c>
      <c r="H5" s="3844"/>
      <c r="I5" s="3843" t="s">
        <v>1671</v>
      </c>
      <c r="J5" s="3844"/>
      <c r="K5" s="559"/>
      <c r="L5" s="2712"/>
      <c r="M5" s="2713"/>
      <c r="N5" s="2713"/>
      <c r="O5" s="2713"/>
      <c r="P5" s="3831"/>
      <c r="Q5" s="3832"/>
      <c r="R5" s="3837"/>
      <c r="S5" s="3838"/>
      <c r="T5" s="3837"/>
      <c r="U5" s="3838"/>
      <c r="V5" s="3820"/>
      <c r="W5" s="3820"/>
      <c r="X5" s="1355"/>
      <c r="Y5" s="3837"/>
      <c r="Z5" s="3838"/>
      <c r="AA5" s="3823"/>
      <c r="AB5" s="3823"/>
      <c r="AC5" s="3823"/>
    </row>
    <row r="6" spans="1:29" ht="15.75" thickBot="1">
      <c r="A6" s="360"/>
      <c r="B6" s="361"/>
      <c r="C6" s="3926" t="s">
        <v>1911</v>
      </c>
      <c r="D6" s="3927"/>
      <c r="E6" s="3928" t="s">
        <v>1911</v>
      </c>
      <c r="F6" s="3929"/>
      <c r="G6" s="3926" t="s">
        <v>1911</v>
      </c>
      <c r="H6" s="3927"/>
      <c r="I6" s="3926" t="s">
        <v>1911</v>
      </c>
      <c r="J6" s="3927"/>
      <c r="K6" s="559" t="s">
        <v>1673</v>
      </c>
      <c r="L6" s="2712"/>
      <c r="M6" s="2713"/>
      <c r="N6" s="2713"/>
      <c r="O6" s="2713"/>
      <c r="P6" s="3833"/>
      <c r="Q6" s="3834"/>
      <c r="R6" s="3837"/>
      <c r="S6" s="3838"/>
      <c r="T6" s="3839"/>
      <c r="U6" s="3840"/>
      <c r="V6" s="3820"/>
      <c r="W6" s="3820"/>
      <c r="X6" s="1355"/>
      <c r="Y6" s="3839"/>
      <c r="Z6" s="3840"/>
      <c r="AA6" s="3824"/>
      <c r="AB6" s="3824"/>
      <c r="AC6" s="3824"/>
    </row>
    <row r="7" spans="1:29" s="108" customFormat="1" ht="15.75" thickBot="1">
      <c r="A7" s="362" t="s">
        <v>1674</v>
      </c>
      <c r="B7" s="363"/>
      <c r="C7" s="364">
        <f>'数据-取费表'!B2</f>
        <v>44991</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5" t="s">
        <v>1675</v>
      </c>
      <c r="Q7" s="3847"/>
      <c r="R7" s="701" t="s">
        <v>14</v>
      </c>
      <c r="S7" s="702">
        <f t="shared" ref="S7:S15" si="0">F7</f>
        <v>0</v>
      </c>
      <c r="T7" s="701" t="s">
        <v>14</v>
      </c>
      <c r="U7" s="702">
        <f t="shared" ref="U7:U15" si="1">H7</f>
        <v>0</v>
      </c>
      <c r="V7" s="701" t="s">
        <v>14</v>
      </c>
      <c r="W7" s="702">
        <f t="shared" ref="W7:W15" si="2">J7</f>
        <v>0</v>
      </c>
      <c r="X7" s="703"/>
      <c r="Y7" s="3845" t="s">
        <v>1675</v>
      </c>
      <c r="Z7" s="3846"/>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5" t="s">
        <v>1678</v>
      </c>
      <c r="Q8" s="3846"/>
      <c r="R8" s="701" t="s">
        <v>14</v>
      </c>
      <c r="S8" s="702">
        <f t="shared" si="0"/>
        <v>0</v>
      </c>
      <c r="T8" s="701" t="s">
        <v>14</v>
      </c>
      <c r="U8" s="702">
        <f t="shared" si="1"/>
        <v>0</v>
      </c>
      <c r="V8" s="701" t="s">
        <v>14</v>
      </c>
      <c r="W8" s="702">
        <f t="shared" si="2"/>
        <v>0</v>
      </c>
      <c r="X8" s="703"/>
      <c r="Y8" s="3845" t="s">
        <v>1678</v>
      </c>
      <c r="Z8" s="3846"/>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06" t="s">
        <v>1681</v>
      </c>
      <c r="Q9" s="1343" t="str">
        <f t="shared" ref="Q9:Q15" si="6">B9</f>
        <v>用途</v>
      </c>
      <c r="R9" s="701" t="s">
        <v>14</v>
      </c>
      <c r="S9" s="702">
        <f t="shared" si="0"/>
        <v>100</v>
      </c>
      <c r="T9" s="701" t="s">
        <v>14</v>
      </c>
      <c r="U9" s="702">
        <f t="shared" si="1"/>
        <v>100</v>
      </c>
      <c r="V9" s="701" t="s">
        <v>14</v>
      </c>
      <c r="W9" s="702">
        <f t="shared" si="2"/>
        <v>100</v>
      </c>
      <c r="X9" s="703"/>
      <c r="Y9" s="3667"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806"/>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06"/>
      <c r="Q11" s="1343" t="str">
        <f t="shared" si="6"/>
        <v>容积率</v>
      </c>
      <c r="R11" s="701" t="s">
        <v>14</v>
      </c>
      <c r="S11" s="702" t="e">
        <f t="shared" si="0"/>
        <v>#N/A</v>
      </c>
      <c r="T11" s="701" t="s">
        <v>14</v>
      </c>
      <c r="U11" s="702" t="e">
        <f t="shared" si="1"/>
        <v>#N/A</v>
      </c>
      <c r="V11" s="701" t="s">
        <v>14</v>
      </c>
      <c r="W11" s="702" t="e">
        <f t="shared" si="2"/>
        <v>#N/A</v>
      </c>
      <c r="X11" s="703"/>
      <c r="Y11" s="366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06"/>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06"/>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06"/>
      <c r="Q14" s="1343">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13" t="s">
        <v>1686</v>
      </c>
      <c r="Q15" s="1352" t="str">
        <f t="shared" si="6"/>
        <v>产业集聚程度</v>
      </c>
      <c r="R15" s="705" t="s">
        <v>14</v>
      </c>
      <c r="S15" s="706">
        <f t="shared" si="0"/>
        <v>100</v>
      </c>
      <c r="T15" s="705" t="s">
        <v>14</v>
      </c>
      <c r="U15" s="706">
        <f t="shared" si="1"/>
        <v>100</v>
      </c>
      <c r="V15" s="705" t="s">
        <v>14</v>
      </c>
      <c r="W15" s="706">
        <f t="shared" si="2"/>
        <v>100</v>
      </c>
      <c r="X15" s="1355"/>
      <c r="Y15" s="3813"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14"/>
      <c r="Q16" s="1352"/>
      <c r="R16" s="705"/>
      <c r="S16" s="706"/>
      <c r="T16" s="705"/>
      <c r="U16" s="706"/>
      <c r="V16" s="705"/>
      <c r="W16" s="706"/>
      <c r="X16" s="1355"/>
      <c r="Y16" s="3814"/>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14"/>
      <c r="Q17" s="1352" t="str">
        <f>B17</f>
        <v>交通便捷度</v>
      </c>
      <c r="R17" s="705" t="s">
        <v>14</v>
      </c>
      <c r="S17" s="706">
        <f>F17</f>
        <v>100</v>
      </c>
      <c r="T17" s="705" t="s">
        <v>14</v>
      </c>
      <c r="U17" s="706">
        <f>H17</f>
        <v>100</v>
      </c>
      <c r="V17" s="705" t="s">
        <v>14</v>
      </c>
      <c r="W17" s="706">
        <f>J17</f>
        <v>100</v>
      </c>
      <c r="X17" s="1355"/>
      <c r="Y17" s="38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14"/>
      <c r="Q18" s="1352"/>
      <c r="R18" s="705"/>
      <c r="S18" s="706"/>
      <c r="T18" s="705"/>
      <c r="U18" s="706"/>
      <c r="V18" s="705"/>
      <c r="W18" s="706"/>
      <c r="X18" s="1355"/>
      <c r="Y18" s="3814"/>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14"/>
      <c r="Q19" s="1352" t="str">
        <f t="shared" ref="Q19:Q33" si="8">B19</f>
        <v>区域土地利用方向</v>
      </c>
      <c r="R19" s="705" t="s">
        <v>14</v>
      </c>
      <c r="S19" s="706">
        <f>F19</f>
        <v>100</v>
      </c>
      <c r="T19" s="705" t="s">
        <v>14</v>
      </c>
      <c r="U19" s="706">
        <f>H19</f>
        <v>100</v>
      </c>
      <c r="V19" s="705" t="s">
        <v>14</v>
      </c>
      <c r="W19" s="706">
        <f>J19</f>
        <v>100</v>
      </c>
      <c r="X19" s="1355"/>
      <c r="Y19" s="38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14"/>
      <c r="Q20" s="1352"/>
      <c r="R20" s="705"/>
      <c r="S20" s="706"/>
      <c r="T20" s="705"/>
      <c r="U20" s="706"/>
      <c r="V20" s="705"/>
      <c r="W20" s="706"/>
      <c r="X20" s="1355"/>
      <c r="Y20" s="3814"/>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14"/>
      <c r="Q21" s="1352" t="str">
        <f t="shared" si="8"/>
        <v>环境状况</v>
      </c>
      <c r="R21" s="705" t="s">
        <v>14</v>
      </c>
      <c r="S21" s="706">
        <f>F21</f>
        <v>100</v>
      </c>
      <c r="T21" s="705" t="s">
        <v>14</v>
      </c>
      <c r="U21" s="706">
        <f>H21</f>
        <v>100</v>
      </c>
      <c r="V21" s="705" t="s">
        <v>14</v>
      </c>
      <c r="W21" s="706">
        <f>J21</f>
        <v>100</v>
      </c>
      <c r="X21" s="1355"/>
      <c r="Y21" s="38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14"/>
      <c r="Q22" s="1352"/>
      <c r="R22" s="705"/>
      <c r="S22" s="706"/>
      <c r="T22" s="705"/>
      <c r="U22" s="706"/>
      <c r="V22" s="705"/>
      <c r="W22" s="706"/>
      <c r="X22" s="1355"/>
      <c r="Y22" s="3814"/>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14"/>
      <c r="Q23" s="1343" t="str">
        <f t="shared" si="8"/>
        <v>公共配套设施</v>
      </c>
      <c r="R23" s="701" t="s">
        <v>14</v>
      </c>
      <c r="S23" s="702">
        <f>F23</f>
        <v>100</v>
      </c>
      <c r="T23" s="701" t="s">
        <v>14</v>
      </c>
      <c r="U23" s="702">
        <f>H23</f>
        <v>100</v>
      </c>
      <c r="V23" s="701" t="s">
        <v>14</v>
      </c>
      <c r="W23" s="702">
        <f>J23</f>
        <v>100</v>
      </c>
      <c r="X23" s="703"/>
      <c r="Y23" s="3814"/>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14"/>
      <c r="Q24" s="1343"/>
      <c r="R24" s="701"/>
      <c r="S24" s="702"/>
      <c r="T24" s="701"/>
      <c r="U24" s="702"/>
      <c r="V24" s="701"/>
      <c r="W24" s="702"/>
      <c r="X24" s="703"/>
      <c r="Y24" s="3814"/>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14"/>
      <c r="Q25" s="1343" t="str">
        <f t="shared" ref="Q25" si="9">B25</f>
        <v>基础设施水平</v>
      </c>
      <c r="R25" s="701" t="s">
        <v>14</v>
      </c>
      <c r="S25" s="702">
        <f>F25</f>
        <v>100</v>
      </c>
      <c r="T25" s="701" t="s">
        <v>14</v>
      </c>
      <c r="U25" s="702">
        <f>H25</f>
        <v>100</v>
      </c>
      <c r="V25" s="701" t="s">
        <v>14</v>
      </c>
      <c r="W25" s="702">
        <f>J25</f>
        <v>100</v>
      </c>
      <c r="X25" s="703"/>
      <c r="Y25" s="3814"/>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14"/>
      <c r="Q26" s="1343"/>
      <c r="R26" s="701"/>
      <c r="S26" s="702"/>
      <c r="T26" s="701"/>
      <c r="U26" s="702"/>
      <c r="V26" s="701"/>
      <c r="W26" s="702"/>
      <c r="X26" s="703"/>
      <c r="Y26" s="3814"/>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14"/>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14"/>
      <c r="Q28" s="1352" t="str">
        <f t="shared" si="8"/>
        <v>毗邻道路的类型与等级</v>
      </c>
      <c r="R28" s="705" t="s">
        <v>14</v>
      </c>
      <c r="S28" s="706">
        <f t="shared" si="10"/>
        <v>100</v>
      </c>
      <c r="T28" s="705" t="s">
        <v>14</v>
      </c>
      <c r="U28" s="706">
        <f t="shared" si="11"/>
        <v>100</v>
      </c>
      <c r="V28" s="705" t="s">
        <v>14</v>
      </c>
      <c r="W28" s="706">
        <f t="shared" si="12"/>
        <v>100</v>
      </c>
      <c r="X28" s="1355"/>
      <c r="Y28" s="38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14"/>
      <c r="Q29" s="1352"/>
      <c r="R29" s="705"/>
      <c r="S29" s="706"/>
      <c r="T29" s="705"/>
      <c r="U29" s="706"/>
      <c r="V29" s="705"/>
      <c r="W29" s="706"/>
      <c r="X29" s="1355"/>
      <c r="Y29" s="3814"/>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14"/>
      <c r="Q30" s="1352" t="str">
        <f t="shared" si="8"/>
        <v>土地级别</v>
      </c>
      <c r="R30" s="705" t="s">
        <v>14</v>
      </c>
      <c r="S30" s="706">
        <f t="shared" si="10"/>
        <v>100</v>
      </c>
      <c r="T30" s="705" t="s">
        <v>14</v>
      </c>
      <c r="U30" s="706">
        <f t="shared" si="11"/>
        <v>100</v>
      </c>
      <c r="V30" s="705" t="s">
        <v>14</v>
      </c>
      <c r="W30" s="706">
        <f t="shared" si="12"/>
        <v>100</v>
      </c>
      <c r="X30" s="1355"/>
      <c r="Y30" s="3814"/>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14"/>
      <c r="Q31" s="1352">
        <f t="shared" si="8"/>
        <v>111</v>
      </c>
      <c r="R31" s="705" t="s">
        <v>14</v>
      </c>
      <c r="S31" s="706">
        <f t="shared" si="10"/>
        <v>100</v>
      </c>
      <c r="T31" s="705" t="s">
        <v>14</v>
      </c>
      <c r="U31" s="706">
        <f t="shared" si="11"/>
        <v>100</v>
      </c>
      <c r="V31" s="705" t="s">
        <v>14</v>
      </c>
      <c r="W31" s="706">
        <f t="shared" si="12"/>
        <v>100</v>
      </c>
      <c r="X31" s="1355"/>
      <c r="Y31" s="3814"/>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3" t="s">
        <v>1691</v>
      </c>
      <c r="Q32" s="1352">
        <f t="shared" si="8"/>
        <v>111</v>
      </c>
      <c r="R32" s="705" t="s">
        <v>14</v>
      </c>
      <c r="S32" s="706">
        <f t="shared" si="10"/>
        <v>100</v>
      </c>
      <c r="T32" s="705" t="s">
        <v>14</v>
      </c>
      <c r="U32" s="706">
        <f t="shared" si="11"/>
        <v>100</v>
      </c>
      <c r="V32" s="705" t="s">
        <v>14</v>
      </c>
      <c r="W32" s="706">
        <f t="shared" si="12"/>
        <v>100</v>
      </c>
      <c r="X32" s="1355"/>
      <c r="Y32" s="3818"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18"/>
      <c r="Q33" s="1352">
        <f t="shared" si="8"/>
        <v>111</v>
      </c>
      <c r="R33" s="708" t="s">
        <v>14</v>
      </c>
      <c r="S33" s="709">
        <f t="shared" si="10"/>
        <v>100</v>
      </c>
      <c r="T33" s="708" t="s">
        <v>14</v>
      </c>
      <c r="U33" s="709">
        <f t="shared" si="11"/>
        <v>100</v>
      </c>
      <c r="V33" s="708" t="s">
        <v>14</v>
      </c>
      <c r="W33" s="709">
        <f t="shared" si="12"/>
        <v>100</v>
      </c>
      <c r="X33" s="710"/>
      <c r="Y33" s="3818"/>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18"/>
      <c r="Q34" s="1352" t="str">
        <f>B34</f>
        <v>宗地面积</v>
      </c>
      <c r="R34" s="705" t="s">
        <v>14</v>
      </c>
      <c r="S34" s="706" t="e">
        <f t="shared" si="10"/>
        <v>#N/A</v>
      </c>
      <c r="T34" s="705" t="s">
        <v>14</v>
      </c>
      <c r="U34" s="706" t="e">
        <f t="shared" si="11"/>
        <v>#N/A</v>
      </c>
      <c r="V34" s="705" t="s">
        <v>14</v>
      </c>
      <c r="W34" s="706" t="e">
        <f t="shared" si="12"/>
        <v>#N/A</v>
      </c>
      <c r="X34" s="1355"/>
      <c r="Y34" s="3818"/>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18"/>
      <c r="Q35" s="1352" t="str">
        <f t="shared" ref="Q35:Q40" si="14">B35</f>
        <v>宗地形状</v>
      </c>
      <c r="R35" s="705" t="s">
        <v>14</v>
      </c>
      <c r="S35" s="706">
        <f t="shared" si="10"/>
        <v>100</v>
      </c>
      <c r="T35" s="705" t="s">
        <v>14</v>
      </c>
      <c r="U35" s="706">
        <f t="shared" si="11"/>
        <v>100</v>
      </c>
      <c r="V35" s="705" t="s">
        <v>14</v>
      </c>
      <c r="W35" s="706">
        <f t="shared" si="12"/>
        <v>100</v>
      </c>
      <c r="X35" s="1355"/>
      <c r="Y35" s="3818"/>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18"/>
      <c r="Q36" s="1352" t="str">
        <f t="shared" si="14"/>
        <v>宗地开发程度</v>
      </c>
      <c r="R36" s="701" t="s">
        <v>14</v>
      </c>
      <c r="S36" s="702">
        <f t="shared" si="10"/>
        <v>100</v>
      </c>
      <c r="T36" s="701" t="s">
        <v>14</v>
      </c>
      <c r="U36" s="702">
        <f t="shared" si="11"/>
        <v>100</v>
      </c>
      <c r="V36" s="701" t="s">
        <v>14</v>
      </c>
      <c r="W36" s="702">
        <f t="shared" si="12"/>
        <v>100</v>
      </c>
      <c r="X36" s="703"/>
      <c r="Y36" s="3818"/>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18" t="s">
        <v>1691</v>
      </c>
      <c r="Q37" s="1352" t="str">
        <f t="shared" si="14"/>
        <v>工程地质条件</v>
      </c>
      <c r="R37" s="705" t="s">
        <v>14</v>
      </c>
      <c r="S37" s="706">
        <f t="shared" si="10"/>
        <v>100</v>
      </c>
      <c r="T37" s="705" t="s">
        <v>14</v>
      </c>
      <c r="U37" s="706">
        <f t="shared" si="11"/>
        <v>100</v>
      </c>
      <c r="V37" s="705" t="s">
        <v>14</v>
      </c>
      <c r="W37" s="706">
        <f t="shared" si="12"/>
        <v>100</v>
      </c>
      <c r="X37" s="1355"/>
      <c r="Y37" s="3818"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18"/>
      <c r="Q38" s="1352">
        <f t="shared" si="14"/>
        <v>111</v>
      </c>
      <c r="R38" s="705" t="s">
        <v>14</v>
      </c>
      <c r="S38" s="706">
        <f t="shared" si="10"/>
        <v>100</v>
      </c>
      <c r="T38" s="705" t="s">
        <v>14</v>
      </c>
      <c r="U38" s="706">
        <f t="shared" si="11"/>
        <v>100</v>
      </c>
      <c r="V38" s="705" t="s">
        <v>14</v>
      </c>
      <c r="W38" s="706">
        <f t="shared" si="12"/>
        <v>100</v>
      </c>
      <c r="X38" s="1355"/>
      <c r="Y38" s="38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18"/>
      <c r="Q39" s="1352">
        <f t="shared" si="14"/>
        <v>111</v>
      </c>
      <c r="R39" s="705" t="s">
        <v>14</v>
      </c>
      <c r="S39" s="706">
        <f t="shared" si="10"/>
        <v>100</v>
      </c>
      <c r="T39" s="705" t="s">
        <v>14</v>
      </c>
      <c r="U39" s="706">
        <f t="shared" si="11"/>
        <v>100</v>
      </c>
      <c r="V39" s="705" t="s">
        <v>14</v>
      </c>
      <c r="W39" s="706">
        <f t="shared" si="12"/>
        <v>100</v>
      </c>
      <c r="X39" s="1355"/>
      <c r="Y39" s="3818"/>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18"/>
      <c r="Q40" s="1352">
        <f t="shared" si="14"/>
        <v>111</v>
      </c>
      <c r="R40" s="708" t="s">
        <v>14</v>
      </c>
      <c r="S40" s="709">
        <f t="shared" si="10"/>
        <v>100</v>
      </c>
      <c r="T40" s="708" t="s">
        <v>14</v>
      </c>
      <c r="U40" s="709">
        <f t="shared" si="11"/>
        <v>100</v>
      </c>
      <c r="V40" s="708" t="s">
        <v>14</v>
      </c>
      <c r="W40" s="709">
        <f t="shared" si="12"/>
        <v>100</v>
      </c>
      <c r="X40" s="710"/>
      <c r="Y40" s="3818"/>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06" t="str">
        <f>A41</f>
        <v>成交单价</v>
      </c>
      <c r="Q41" s="3806"/>
      <c r="R41" s="3820">
        <f>E41</f>
        <v>0</v>
      </c>
      <c r="S41" s="3820"/>
      <c r="T41" s="3820">
        <f>G41</f>
        <v>0</v>
      </c>
      <c r="U41" s="3820"/>
      <c r="V41" s="3820">
        <f>I41</f>
        <v>0</v>
      </c>
      <c r="W41" s="3820"/>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06" t="str">
        <f>A42</f>
        <v>比较价值（元/平方米）</v>
      </c>
      <c r="Q42" s="3806"/>
      <c r="R42" s="3875" t="e">
        <f>ROUND(PRODUCT(R41,AA7:AA40),0)</f>
        <v>#DIV/0!</v>
      </c>
      <c r="S42" s="3875"/>
      <c r="T42" s="3875" t="e">
        <f>ROUND(PRODUCT(T41,AB7:AB40),0)</f>
        <v>#DIV/0!</v>
      </c>
      <c r="U42" s="3875"/>
      <c r="V42" s="3875" t="e">
        <f>ROUND(PRODUCT(V41,AC7:AC40),0)</f>
        <v>#DIV/0!</v>
      </c>
      <c r="W42" s="3875"/>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08" t="str">
        <f>A43</f>
        <v>估价对象XX用房的比较价值（楼面单价，元/平方米）</v>
      </c>
      <c r="Q43" s="3809"/>
      <c r="R43" s="3876" t="e">
        <f>ROUND(IF(D42="简单平均",AVERAGE(R42:W42),R42*F42+T42*H42+V42*J42),0)</f>
        <v>#DIV/0!</v>
      </c>
      <c r="S43" s="3876"/>
      <c r="T43" s="3876"/>
      <c r="U43" s="3876"/>
      <c r="V43" s="3876"/>
      <c r="W43" s="387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5" t="s">
        <v>1879</v>
      </c>
      <c r="H50" s="3877"/>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140</v>
      </c>
      <c r="F51" s="639" t="e">
        <f t="shared" ref="F51:F60" si="15">ROUND(B51*E51/10000,0)</f>
        <v>#DIV/0!</v>
      </c>
      <c r="G51" s="3821"/>
      <c r="H51" s="3806"/>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933" t="s">
        <v>2076</v>
      </c>
      <c r="D1" s="3934"/>
      <c r="E1" s="3934"/>
      <c r="F1" s="3934"/>
      <c r="G1" s="3934"/>
      <c r="H1" s="3934"/>
      <c r="I1" s="3934"/>
      <c r="J1" s="3934"/>
      <c r="K1" s="3934"/>
      <c r="L1" s="3934"/>
      <c r="M1" s="3934"/>
      <c r="N1" s="3934"/>
      <c r="O1" s="3934"/>
      <c r="P1" s="3934"/>
      <c r="Q1" s="3934"/>
      <c r="R1" s="3934"/>
      <c r="S1" s="3935"/>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930" t="s">
        <v>23</v>
      </c>
      <c r="D22" s="3931"/>
      <c r="E22" s="3931"/>
      <c r="F22" s="3931"/>
      <c r="G22" s="3931"/>
      <c r="H22" s="3931"/>
      <c r="I22" s="3931"/>
      <c r="J22" s="3931"/>
      <c r="K22" s="3931"/>
      <c r="L22" s="3931"/>
      <c r="M22" s="3931"/>
      <c r="N22" s="3931"/>
      <c r="O22" s="3931"/>
      <c r="P22" s="3931"/>
      <c r="Q22" s="3932"/>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2"/>
      <c r="C2" s="3582"/>
      <c r="D2" s="3582"/>
      <c r="E2" s="3582"/>
    </row>
    <row r="3" spans="1:5" ht="18">
      <c r="A3" s="3583" t="str">
        <f>IF(项目基本情况!B9="房地产市场价值","估价结果一览表（市场价值不需“结果表-1”）","估价结果一览表")</f>
        <v>估价结果一览表（市场价值不需“结果表-1”）</v>
      </c>
      <c r="B3" s="3583"/>
      <c r="C3" s="3583"/>
      <c r="D3" s="3583"/>
      <c r="E3" s="3583"/>
    </row>
    <row r="4" spans="1:5" ht="19.5" thickBot="1">
      <c r="A4" s="1493"/>
      <c r="B4" s="3581" t="s">
        <v>913</v>
      </c>
      <c r="C4" s="3581"/>
      <c r="D4" s="3581"/>
      <c r="E4" s="1493"/>
    </row>
    <row r="5" spans="1:5" ht="16.5" thickTop="1">
      <c r="A5" s="1491"/>
      <c r="B5" s="3579" t="s">
        <v>905</v>
      </c>
      <c r="C5" s="1494" t="s">
        <v>906</v>
      </c>
      <c r="D5" s="850" t="e">
        <f ca="1">结果表!H101</f>
        <v>#REF!</v>
      </c>
      <c r="E5" s="1491"/>
    </row>
    <row r="6" spans="1:5" ht="15.75">
      <c r="A6" s="1491"/>
      <c r="B6" s="3579"/>
      <c r="C6" s="1494" t="s">
        <v>907</v>
      </c>
      <c r="D6" s="850" t="e">
        <f ca="1">NUMBERSTRING(INT(D5*10000),2)&amp;"元整"</f>
        <v>#REF!</v>
      </c>
      <c r="E6" s="1491"/>
    </row>
    <row r="7" spans="1:5" ht="15.75">
      <c r="A7" s="1491"/>
      <c r="B7" s="3584"/>
      <c r="C7" s="1495" t="s">
        <v>908</v>
      </c>
      <c r="D7" s="851" t="e">
        <f ca="1">结果表!H102</f>
        <v>#REF!</v>
      </c>
      <c r="E7" s="1491"/>
    </row>
    <row r="8" spans="1:5" ht="15.75">
      <c r="A8" s="1491"/>
      <c r="B8" s="3585" t="str">
        <f>结果表!E103</f>
        <v>2.估价师知悉的法定优先受偿款</v>
      </c>
      <c r="C8" s="1496" t="s">
        <v>909</v>
      </c>
      <c r="D8" s="851">
        <f>结果表!H103</f>
        <v>0</v>
      </c>
      <c r="E8" s="1491"/>
    </row>
    <row r="9" spans="1:5" ht="15.75">
      <c r="A9" s="1491"/>
      <c r="B9" s="3587"/>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78" t="str">
        <f>结果表!E107</f>
        <v>3.房地产抵押价值</v>
      </c>
      <c r="C13" s="1499" t="s">
        <v>906</v>
      </c>
      <c r="D13" s="853" t="e">
        <f ca="1">结果表!H107</f>
        <v>#REF!</v>
      </c>
      <c r="E13" s="1491"/>
    </row>
    <row r="14" spans="1:5" ht="15.75">
      <c r="A14" s="1491"/>
      <c r="B14" s="3579"/>
      <c r="C14" s="1494" t="s">
        <v>907</v>
      </c>
      <c r="D14" s="850" t="e">
        <f ca="1">NUMBERSTRING(INT(D13*10000),2)&amp;"元整"</f>
        <v>#REF!</v>
      </c>
      <c r="E14" s="1491"/>
    </row>
    <row r="15" spans="1:5" ht="15">
      <c r="A15" s="1491"/>
      <c r="B15" s="3584"/>
      <c r="C15" s="1495" t="s">
        <v>917</v>
      </c>
      <c r="D15" s="859" t="e">
        <f ca="1">结果表!H108</f>
        <v>#REF!</v>
      </c>
      <c r="E15" s="1491"/>
    </row>
    <row r="16" spans="1:5" ht="15">
      <c r="A16" s="1491"/>
      <c r="B16" s="3585" t="str">
        <f>结果表!E109</f>
        <v>——</v>
      </c>
      <c r="C16" s="1499" t="s">
        <v>918</v>
      </c>
      <c r="D16" s="1500" t="str">
        <f>结果表!H109</f>
        <v>——</v>
      </c>
      <c r="E16" s="1491"/>
    </row>
    <row r="17" spans="1:5" ht="15.75">
      <c r="A17" s="1491"/>
      <c r="B17" s="3586"/>
      <c r="C17" s="1494" t="s">
        <v>919</v>
      </c>
      <c r="D17" s="850" t="e">
        <f>NUMBERSTRING(INT(D16*10000),2)&amp;"元整"</f>
        <v>#VALUE!</v>
      </c>
      <c r="E17" s="1491"/>
    </row>
    <row r="18" spans="1:5" ht="15">
      <c r="A18" s="1491"/>
      <c r="B18" s="3587"/>
      <c r="C18" s="1495" t="s">
        <v>908</v>
      </c>
      <c r="D18" s="859" t="str">
        <f>结果表!H110</f>
        <v>——</v>
      </c>
      <c r="E18" s="1491"/>
    </row>
    <row r="19" spans="1:5" ht="15.75">
      <c r="A19" s="1491"/>
      <c r="B19" s="3578" t="str">
        <f>结果表!E111</f>
        <v>——</v>
      </c>
      <c r="C19" s="1499" t="s">
        <v>906</v>
      </c>
      <c r="D19" s="851" t="str">
        <f>结果表!H111</f>
        <v>——</v>
      </c>
      <c r="E19" s="1491"/>
    </row>
    <row r="20" spans="1:5" ht="15.75">
      <c r="A20" s="1491"/>
      <c r="B20" s="3579"/>
      <c r="C20" s="1494" t="s">
        <v>919</v>
      </c>
      <c r="D20" s="850" t="e">
        <f>NUMBERSTRING(INT(D19*10000),2)&amp;"元整"</f>
        <v>#VALUE!</v>
      </c>
      <c r="E20" s="1491"/>
    </row>
    <row r="21" spans="1:5" ht="15.75" thickBot="1">
      <c r="A21" s="1491"/>
      <c r="B21" s="3580"/>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7"/>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5"/>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943"/>
      <c r="B4" s="3944"/>
      <c r="C4" s="3944"/>
      <c r="D4" s="3945"/>
      <c r="E4" s="3945"/>
      <c r="F4" s="3945"/>
      <c r="G4" s="3945"/>
      <c r="H4" s="3945"/>
      <c r="I4" s="3945"/>
      <c r="J4" s="3946"/>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09"/>
      <c r="AD6" s="2010"/>
      <c r="AE6" s="2010"/>
      <c r="AF6" s="2010"/>
      <c r="AG6" s="2010"/>
      <c r="AH6" s="2010"/>
      <c r="AI6" s="2010"/>
      <c r="AJ6" s="2011"/>
    </row>
    <row r="7" spans="1:36" ht="24.75" thickBot="1">
      <c r="A7" s="3299"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4"/>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940" t="s">
        <v>1952</v>
      </c>
      <c r="X8" s="3941"/>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4"/>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942"/>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94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6"/>
      <c r="AE11" s="2786"/>
      <c r="AF11" s="2786"/>
      <c r="AG11" s="2786"/>
      <c r="AH11" s="2786"/>
      <c r="AI11" s="2786"/>
      <c r="AJ11" s="2787"/>
    </row>
    <row r="12" spans="1:36" ht="25.5" thickBot="1">
      <c r="A12" s="3299" t="s">
        <v>3238</v>
      </c>
      <c r="B12" s="3300" t="s">
        <v>3239</v>
      </c>
      <c r="C12" s="3301"/>
      <c r="D12" s="3302" t="s">
        <v>3240</v>
      </c>
      <c r="E12" s="3303" t="s">
        <v>3241</v>
      </c>
      <c r="F12" s="3304"/>
      <c r="G12" s="3305"/>
      <c r="H12" s="3305"/>
      <c r="I12" s="3305"/>
      <c r="J12" s="3306"/>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6"/>
      <c r="AE12" s="2786"/>
      <c r="AF12" s="2786"/>
      <c r="AG12" s="2786"/>
      <c r="AH12" s="2786"/>
      <c r="AI12" s="2786"/>
      <c r="AJ12" s="2787"/>
    </row>
    <row r="13" spans="1:36" ht="15.75" thickBot="1">
      <c r="A13" s="3299" t="s">
        <v>3242</v>
      </c>
      <c r="B13" s="2032" t="s">
        <v>1974</v>
      </c>
      <c r="C13" s="755">
        <f>ROUND(C16*D16*E16*F16*G16*H16*I16*J16,4)</f>
        <v>0</v>
      </c>
      <c r="D13" s="2033" t="s">
        <v>1975</v>
      </c>
      <c r="E13" s="2034"/>
      <c r="F13" s="2034"/>
      <c r="G13" s="2035"/>
      <c r="H13" s="2035"/>
      <c r="I13" s="2035"/>
      <c r="J13" s="2036"/>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6"/>
      <c r="AE13" s="2786"/>
      <c r="AF13" s="2786"/>
      <c r="AG13" s="2786"/>
      <c r="AH13" s="2786"/>
      <c r="AI13" s="2786"/>
      <c r="AJ13" s="2787"/>
    </row>
    <row r="14" spans="1:36" ht="15">
      <c r="A14" s="3293"/>
      <c r="B14" s="2038" t="s">
        <v>1977</v>
      </c>
      <c r="C14" s="2039" t="s">
        <v>1978</v>
      </c>
      <c r="D14" s="1350" t="s">
        <v>1979</v>
      </c>
      <c r="E14" s="27" t="s">
        <v>1980</v>
      </c>
      <c r="F14" s="3307" t="s">
        <v>3243</v>
      </c>
      <c r="G14" s="3307" t="s">
        <v>3243</v>
      </c>
      <c r="H14" s="3307" t="s">
        <v>3243</v>
      </c>
      <c r="I14" s="3307" t="s">
        <v>3243</v>
      </c>
      <c r="J14" s="3307" t="s">
        <v>3243</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6"/>
      <c r="AE14" s="2786"/>
      <c r="AF14" s="2786"/>
      <c r="AG14" s="2786"/>
      <c r="AH14" s="2786"/>
      <c r="AI14" s="2786"/>
      <c r="AJ14" s="2787"/>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6"/>
      <c r="AE15" s="2786"/>
      <c r="AF15" s="2786"/>
      <c r="AG15" s="2786"/>
      <c r="AH15" s="2786"/>
      <c r="AI15" s="2786"/>
      <c r="AJ15" s="2787"/>
    </row>
    <row r="16" spans="1:36" ht="15.75" thickBot="1">
      <c r="A16" s="3293"/>
      <c r="B16" s="3315" t="s">
        <v>1981</v>
      </c>
      <c r="C16" s="3313"/>
      <c r="D16" s="3313"/>
      <c r="E16" s="3313"/>
      <c r="F16" s="3313">
        <v>1</v>
      </c>
      <c r="G16" s="3313">
        <v>1</v>
      </c>
      <c r="H16" s="3313">
        <v>1</v>
      </c>
      <c r="I16" s="3313">
        <v>1</v>
      </c>
      <c r="J16" s="3314">
        <v>1</v>
      </c>
      <c r="K16" s="1119"/>
      <c r="L16" s="1995"/>
      <c r="M16" s="1995"/>
      <c r="N16" s="1995"/>
      <c r="O16" s="1995"/>
      <c r="P16" s="1995"/>
      <c r="Q16" s="1119"/>
      <c r="R16" s="1212">
        <v>15</v>
      </c>
      <c r="S16" s="1213"/>
      <c r="T16" s="3356" t="e">
        <f t="shared" si="0"/>
        <v>#DIV/0!</v>
      </c>
      <c r="U16" s="1213"/>
      <c r="V16" s="3356" t="e">
        <f t="shared" si="1"/>
        <v>#DIV/0!</v>
      </c>
      <c r="W16" s="1216"/>
      <c r="X16" s="1216"/>
      <c r="Y16" s="1216"/>
      <c r="Z16" s="1216"/>
      <c r="AA16" s="1216"/>
      <c r="AB16" s="1216"/>
      <c r="AC16" s="1217"/>
      <c r="AD16" s="2786"/>
      <c r="AE16" s="2786"/>
      <c r="AF16" s="2786"/>
      <c r="AG16" s="2786"/>
      <c r="AH16" s="2786"/>
      <c r="AI16" s="2786"/>
      <c r="AJ16" s="2787"/>
    </row>
    <row r="17" spans="1:37">
      <c r="A17" s="3325" t="s">
        <v>3245</v>
      </c>
      <c r="B17" s="3316" t="s">
        <v>3246</v>
      </c>
      <c r="C17" s="3326">
        <f>ROUND(IF(OR(E2="工业",E2="公共服务"),1,IF(AND(E18=0,E19=0),1,IF(AND(E18=J24,E19=G19),0.8,IF(E19=0,1+E17*(-0.2),1+E17*G17*(-0.2))))),4)</f>
        <v>1</v>
      </c>
      <c r="D17" s="3317" t="s">
        <v>3247</v>
      </c>
      <c r="E17" s="3326" t="e">
        <f>ROUND(G18/I18,2)</f>
        <v>#DIV/0!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7"/>
      <c r="C18" s="3323"/>
      <c r="D18" s="3318" t="s">
        <v>3248</v>
      </c>
      <c r="E18" s="3324"/>
      <c r="F18" s="3319" t="s">
        <v>3251</v>
      </c>
      <c r="G18" s="3323">
        <f>ROUND(1-(1/(POWER(1+G24,E18))),4)</f>
        <v>0</v>
      </c>
      <c r="H18" s="3319" t="s">
        <v>3253</v>
      </c>
      <c r="I18" s="3323">
        <f>ROUND(1-(1/(POWER(1+G24,J24))),4)</f>
        <v>0</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47" t="s">
        <v>3254</v>
      </c>
      <c r="B20" s="167" t="s">
        <v>1986</v>
      </c>
      <c r="C20" s="3320" t="e">
        <f>ROUND(IF(F21="与级别开发程度一致",0,(G21-E21)/C21),0)</f>
        <v>#DIV/0!</v>
      </c>
      <c r="D20" s="3336" t="s">
        <v>1990</v>
      </c>
      <c r="E20" s="3337"/>
      <c r="F20" s="3953" t="s">
        <v>1987</v>
      </c>
      <c r="G20" s="3954"/>
      <c r="H20" s="3321"/>
      <c r="I20" s="3321"/>
      <c r="J20" s="3322"/>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48"/>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44991</v>
      </c>
      <c r="H23" s="3338" t="s">
        <v>3256</v>
      </c>
      <c r="I23" s="3339" t="str">
        <f>IF(H23="季度增幅（自定义）",SUMIF(N25:N28,E2,O25:O28),"")</f>
        <v/>
      </c>
      <c r="J23" s="3441"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0"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6" t="s">
        <v>1928</v>
      </c>
      <c r="M30" s="3347" t="s">
        <v>1982</v>
      </c>
      <c r="N30" s="3347" t="s">
        <v>1983</v>
      </c>
      <c r="O30" s="3347" t="s">
        <v>1984</v>
      </c>
      <c r="P30" s="3347" t="s">
        <v>1985</v>
      </c>
      <c r="Q30" s="3350"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8" t="s">
        <v>1988</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49" t="s">
        <v>1991</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1" t="s">
        <v>3260</v>
      </c>
      <c r="G33" s="2097"/>
      <c r="H33" s="2097"/>
      <c r="I33" s="2097"/>
      <c r="J33" s="2098"/>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2"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2" t="s">
        <v>3265</v>
      </c>
      <c r="L36" s="3442">
        <f ca="1">'数据-取费表'!B40</f>
        <v>3.6499999999999998E-2</v>
      </c>
      <c r="M36" s="3353">
        <f ca="1">ROUND($L$36*(1+M31),3)</f>
        <v>4.5999999999999999E-2</v>
      </c>
      <c r="N36" s="3353">
        <f ca="1">ROUND($L$36*(1+N31),3)</f>
        <v>4.3999999999999997E-2</v>
      </c>
      <c r="O36" s="3353">
        <f ca="1">ROUND($L$36*(1+O31),3)</f>
        <v>4.2000000000000003E-2</v>
      </c>
      <c r="P36" s="3353">
        <f ca="1">ROUND($L$36*(1+P31),3)</f>
        <v>0.04</v>
      </c>
      <c r="Q36" s="3353">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51"/>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4" t="s">
        <v>3266</v>
      </c>
      <c r="L37" s="3352">
        <f ca="1">L36+K38</f>
        <v>4.1499999999999995E-2</v>
      </c>
      <c r="M37" s="3353">
        <f ca="1">ROUND($L$37*(1+M31),3)</f>
        <v>5.1999999999999998E-2</v>
      </c>
      <c r="N37" s="3353">
        <f t="shared" ref="N37:Q37" ca="1" si="3">ROUND($L$37*(1+N31),3)</f>
        <v>0.05</v>
      </c>
      <c r="O37" s="3353">
        <f t="shared" ca="1" si="3"/>
        <v>4.8000000000000001E-2</v>
      </c>
      <c r="P37" s="3353">
        <f t="shared" ca="1" si="3"/>
        <v>4.5999999999999999E-2</v>
      </c>
      <c r="Q37" s="3353">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52"/>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952"/>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3269</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3269</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3270</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3273</v>
      </c>
      <c r="B94" s="3365" t="str">
        <f>估价对象房地状况!C18</f>
        <v>估价对象周边道路状况、公共交通通达情况、停车便捷程度，综合评价交通便捷度较好</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3277</v>
      </c>
      <c r="B99" s="3365" t="str">
        <f>估价对象房地状况!C21</f>
        <v>估价对象所在区域公共配套设施齐备情况</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3279</v>
      </c>
      <c r="B101" s="3382" t="str">
        <f>估价对象房地状况!C20</f>
        <v>区域自然环境：；人文环境；综合评价环境状况一般</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49" t="s">
        <v>3294</v>
      </c>
      <c r="B103" s="3949"/>
      <c r="C103" s="3949"/>
      <c r="D103" s="3949"/>
      <c r="E103" s="3949"/>
      <c r="F103" s="3949"/>
      <c r="G103" s="3949"/>
      <c r="H103" s="3949"/>
      <c r="I103" s="3949"/>
      <c r="J103" s="3949"/>
      <c r="K103" s="3385"/>
      <c r="L103" s="3385"/>
      <c r="M103" s="3385"/>
      <c r="N103" s="3385"/>
    </row>
    <row r="104" spans="1:14">
      <c r="A104" s="3950" t="s">
        <v>3295</v>
      </c>
      <c r="B104" s="3950" t="s">
        <v>3296</v>
      </c>
      <c r="C104" s="3386" t="s">
        <v>3297</v>
      </c>
      <c r="D104" s="3387"/>
      <c r="E104" s="3387"/>
      <c r="F104" s="3387"/>
      <c r="G104" s="3387"/>
      <c r="H104" s="3387"/>
      <c r="I104" s="3387"/>
      <c r="J104" s="3388"/>
      <c r="K104" s="3389"/>
      <c r="L104" s="3389"/>
      <c r="M104" s="3389"/>
      <c r="N104" s="3389"/>
    </row>
    <row r="105" spans="1:14">
      <c r="A105" s="3950"/>
      <c r="B105" s="3950"/>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936"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93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93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93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93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937"/>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93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939" t="s">
        <v>3311</v>
      </c>
      <c r="B113" s="3939"/>
      <c r="C113" s="3939"/>
      <c r="D113" s="3939"/>
      <c r="E113" s="3939"/>
      <c r="F113" s="3939"/>
      <c r="G113" s="3939"/>
      <c r="H113" s="3939"/>
      <c r="I113" s="3939"/>
      <c r="J113" s="393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2608</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7" t="s">
        <v>2604</v>
      </c>
      <c r="B3" s="3020">
        <v>3.5</v>
      </c>
      <c r="C3" s="3020">
        <v>3.5</v>
      </c>
      <c r="D3" s="3074">
        <v>2.5</v>
      </c>
      <c r="E3" s="3074">
        <v>2.5</v>
      </c>
      <c r="F3" s="3074">
        <v>2.5</v>
      </c>
      <c r="G3" s="3074">
        <v>2.5</v>
      </c>
      <c r="H3" s="3074">
        <v>2.5</v>
      </c>
      <c r="I3" s="3020">
        <v>2</v>
      </c>
      <c r="J3" s="3020">
        <v>2</v>
      </c>
      <c r="K3" s="3020">
        <v>2</v>
      </c>
      <c r="L3" s="3020">
        <v>2</v>
      </c>
      <c r="M3" s="3024">
        <v>2</v>
      </c>
    </row>
    <row r="4" spans="1:13" ht="19.5" customHeight="1">
      <c r="A4" s="3017" t="s">
        <v>2605</v>
      </c>
      <c r="B4" s="3074">
        <v>2.5</v>
      </c>
      <c r="C4" s="3074">
        <v>2.5</v>
      </c>
      <c r="D4" s="3074">
        <v>2.5</v>
      </c>
      <c r="E4" s="3074">
        <v>2.5</v>
      </c>
      <c r="F4" s="3074">
        <v>2.5</v>
      </c>
      <c r="G4" s="3074">
        <v>2.5</v>
      </c>
      <c r="H4" s="3074">
        <v>2.5</v>
      </c>
      <c r="I4" s="3020">
        <v>1.5</v>
      </c>
      <c r="J4" s="3020">
        <v>1.5</v>
      </c>
      <c r="K4" s="3020">
        <v>1.5</v>
      </c>
      <c r="L4" s="3020">
        <v>1.5</v>
      </c>
      <c r="M4" s="3024">
        <v>1.5</v>
      </c>
    </row>
    <row r="5" spans="1:13" ht="19.5" customHeight="1">
      <c r="A5" s="3075"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9">
        <v>1.5</v>
      </c>
      <c r="J7" s="3029">
        <v>1.5</v>
      </c>
      <c r="K7" s="3029">
        <v>1.5</v>
      </c>
      <c r="L7" s="3029">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7"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964" t="s">
        <v>2603</v>
      </c>
      <c r="B20" s="3959" t="s">
        <v>2624</v>
      </c>
      <c r="C20" s="3098" t="s">
        <v>2435</v>
      </c>
      <c r="D20" s="3099"/>
      <c r="E20" s="3100">
        <v>1</v>
      </c>
      <c r="F20" s="3101" t="s">
        <v>2436</v>
      </c>
      <c r="G20" s="3101"/>
    </row>
    <row r="21" spans="1:13" ht="19.5" customHeight="1">
      <c r="A21" s="3965"/>
      <c r="B21" s="3958"/>
      <c r="C21" s="3102" t="s">
        <v>2437</v>
      </c>
      <c r="D21" s="3103"/>
      <c r="E21" s="3104">
        <v>1</v>
      </c>
      <c r="F21" s="3101" t="s">
        <v>2438</v>
      </c>
      <c r="G21" s="3101"/>
    </row>
    <row r="22" spans="1:13" ht="19.5" customHeight="1">
      <c r="A22" s="3965"/>
      <c r="B22" s="3958"/>
      <c r="C22" s="3102" t="s">
        <v>2439</v>
      </c>
      <c r="D22" s="3103"/>
      <c r="E22" s="3104">
        <v>0.9</v>
      </c>
      <c r="F22" s="3101" t="s">
        <v>2440</v>
      </c>
      <c r="G22" s="3101"/>
    </row>
    <row r="23" spans="1:13" ht="19.5" customHeight="1">
      <c r="A23" s="3965"/>
      <c r="B23" s="3958"/>
      <c r="C23" s="3102" t="s">
        <v>2441</v>
      </c>
      <c r="D23" s="3103"/>
      <c r="E23" s="3104">
        <v>0.9</v>
      </c>
      <c r="F23" s="3101" t="s">
        <v>2442</v>
      </c>
      <c r="G23" s="3101"/>
    </row>
    <row r="24" spans="1:13" ht="19.5" customHeight="1">
      <c r="A24" s="3965"/>
      <c r="B24" s="3958"/>
      <c r="C24" s="3102" t="s">
        <v>2443</v>
      </c>
      <c r="D24" s="3103"/>
      <c r="E24" s="3104">
        <v>0.8</v>
      </c>
      <c r="F24" s="3101" t="s">
        <v>2444</v>
      </c>
      <c r="G24" s="3101"/>
    </row>
    <row r="25" spans="1:13" ht="19.5" customHeight="1" thickBot="1">
      <c r="A25" s="3966"/>
      <c r="B25" s="3960"/>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961" t="s">
        <v>2627</v>
      </c>
      <c r="B27" s="3959" t="s">
        <v>2608</v>
      </c>
      <c r="C27" s="3098" t="s">
        <v>2448</v>
      </c>
      <c r="D27" s="3099"/>
      <c r="E27" s="3100">
        <v>1</v>
      </c>
      <c r="F27" s="3101" t="s">
        <v>2449</v>
      </c>
      <c r="G27" s="3101"/>
    </row>
    <row r="28" spans="1:13" ht="19.5" customHeight="1">
      <c r="A28" s="3962"/>
      <c r="B28" s="3958"/>
      <c r="C28" s="3102" t="s">
        <v>2450</v>
      </c>
      <c r="D28" s="3103"/>
      <c r="E28" s="3104">
        <v>1</v>
      </c>
      <c r="F28" s="3101" t="s">
        <v>2451</v>
      </c>
      <c r="G28" s="3101"/>
    </row>
    <row r="29" spans="1:13" ht="19.5" customHeight="1">
      <c r="A29" s="3962"/>
      <c r="B29" s="3958"/>
      <c r="C29" s="3102" t="s">
        <v>2452</v>
      </c>
      <c r="D29" s="3103"/>
      <c r="E29" s="3104">
        <v>0.8</v>
      </c>
      <c r="F29" s="3101" t="s">
        <v>2453</v>
      </c>
      <c r="G29" s="3101"/>
    </row>
    <row r="30" spans="1:13" ht="19.5" customHeight="1">
      <c r="A30" s="3962"/>
      <c r="B30" s="3958"/>
      <c r="C30" s="3102" t="s">
        <v>2454</v>
      </c>
      <c r="D30" s="3103"/>
      <c r="E30" s="3104">
        <v>0.8</v>
      </c>
      <c r="F30" s="3101" t="s">
        <v>2455</v>
      </c>
      <c r="G30" s="3101"/>
    </row>
    <row r="31" spans="1:13" ht="19.5" customHeight="1">
      <c r="A31" s="3962"/>
      <c r="B31" s="3958"/>
      <c r="C31" s="3102" t="s">
        <v>2456</v>
      </c>
      <c r="D31" s="3103"/>
      <c r="E31" s="3104">
        <v>0.8</v>
      </c>
      <c r="F31" s="3101" t="s">
        <v>2457</v>
      </c>
      <c r="G31" s="3101"/>
    </row>
    <row r="32" spans="1:13" ht="19.5" customHeight="1">
      <c r="A32" s="3962"/>
      <c r="B32" s="3958"/>
      <c r="C32" s="3102" t="s">
        <v>2458</v>
      </c>
      <c r="D32" s="3103"/>
      <c r="E32" s="3104">
        <v>0.7</v>
      </c>
      <c r="F32" s="3101" t="s">
        <v>2459</v>
      </c>
      <c r="G32" s="3101"/>
    </row>
    <row r="33" spans="1:7" ht="19.5" customHeight="1">
      <c r="A33" s="3962"/>
      <c r="B33" s="3958"/>
      <c r="C33" s="3102" t="s">
        <v>2460</v>
      </c>
      <c r="D33" s="3103"/>
      <c r="E33" s="3104">
        <v>0.8</v>
      </c>
      <c r="F33" s="3101" t="s">
        <v>2461</v>
      </c>
      <c r="G33" s="3101"/>
    </row>
    <row r="34" spans="1:7" ht="19.5" customHeight="1">
      <c r="A34" s="3962"/>
      <c r="B34" s="3958"/>
      <c r="C34" s="3102" t="s">
        <v>2462</v>
      </c>
      <c r="D34" s="3103"/>
      <c r="E34" s="3104">
        <v>0.6</v>
      </c>
      <c r="F34" s="3101" t="s">
        <v>2463</v>
      </c>
      <c r="G34" s="3101"/>
    </row>
    <row r="35" spans="1:7" ht="19.5" customHeight="1">
      <c r="A35" s="3962"/>
      <c r="B35" s="3958"/>
      <c r="C35" s="3102" t="s">
        <v>2464</v>
      </c>
      <c r="D35" s="3103"/>
      <c r="E35" s="3104">
        <v>0.2</v>
      </c>
      <c r="F35" s="3101" t="s">
        <v>2465</v>
      </c>
      <c r="G35" s="3101"/>
    </row>
    <row r="36" spans="1:7" ht="19.5" customHeight="1">
      <c r="A36" s="3962"/>
      <c r="B36" s="3958"/>
      <c r="C36" s="3102" t="s">
        <v>2466</v>
      </c>
      <c r="D36" s="3103"/>
      <c r="E36" s="3104">
        <v>0.2</v>
      </c>
      <c r="F36" s="3101" t="s">
        <v>2467</v>
      </c>
      <c r="G36" s="3101"/>
    </row>
    <row r="37" spans="1:7" ht="19.5" customHeight="1">
      <c r="A37" s="3962"/>
      <c r="B37" s="3956" t="s">
        <v>2628</v>
      </c>
      <c r="C37" s="3102" t="s">
        <v>2468</v>
      </c>
      <c r="D37" s="3103"/>
      <c r="E37" s="3104">
        <v>0.6</v>
      </c>
      <c r="F37" s="3101" t="s">
        <v>2469</v>
      </c>
      <c r="G37" s="3101"/>
    </row>
    <row r="38" spans="1:7" ht="19.5" customHeight="1">
      <c r="A38" s="3962"/>
      <c r="B38" s="3958"/>
      <c r="C38" s="3102" t="s">
        <v>2470</v>
      </c>
      <c r="D38" s="3103"/>
      <c r="E38" s="3104">
        <v>0.6</v>
      </c>
      <c r="F38" s="3101" t="s">
        <v>2471</v>
      </c>
      <c r="G38" s="3101"/>
    </row>
    <row r="39" spans="1:7" ht="19.5" customHeight="1" thickBot="1">
      <c r="A39" s="3963"/>
      <c r="B39" s="3960"/>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964" t="s">
        <v>2606</v>
      </c>
      <c r="B41" s="3959" t="s">
        <v>2630</v>
      </c>
      <c r="C41" s="3098" t="s">
        <v>2475</v>
      </c>
      <c r="D41" s="3099"/>
      <c r="E41" s="3100">
        <v>1</v>
      </c>
      <c r="F41" s="3101" t="s">
        <v>2476</v>
      </c>
      <c r="G41" s="3101"/>
    </row>
    <row r="42" spans="1:7" ht="19.5" customHeight="1">
      <c r="A42" s="3965"/>
      <c r="B42" s="3958"/>
      <c r="C42" s="3102" t="s">
        <v>2477</v>
      </c>
      <c r="D42" s="3103"/>
      <c r="E42" s="3104">
        <v>1</v>
      </c>
      <c r="F42" s="3101" t="s">
        <v>2478</v>
      </c>
      <c r="G42" s="3101"/>
    </row>
    <row r="43" spans="1:7" ht="19.5" customHeight="1">
      <c r="A43" s="3965"/>
      <c r="B43" s="3957"/>
      <c r="C43" s="3102" t="s">
        <v>2479</v>
      </c>
      <c r="D43" s="3103"/>
      <c r="E43" s="3104">
        <v>1.5</v>
      </c>
      <c r="F43" s="3101" t="s">
        <v>2480</v>
      </c>
      <c r="G43" s="3101"/>
    </row>
    <row r="44" spans="1:7" ht="19.5" customHeight="1">
      <c r="A44" s="3965"/>
      <c r="B44" s="3113" t="s">
        <v>2631</v>
      </c>
      <c r="C44" s="3102" t="s">
        <v>2632</v>
      </c>
      <c r="D44" s="3103"/>
      <c r="E44" s="3104">
        <v>2</v>
      </c>
      <c r="F44" s="3101" t="s">
        <v>2481</v>
      </c>
      <c r="G44" s="3101"/>
    </row>
    <row r="45" spans="1:7" ht="19.5" customHeight="1">
      <c r="A45" s="3965"/>
      <c r="B45" s="3956" t="s">
        <v>2633</v>
      </c>
      <c r="C45" s="3102" t="s">
        <v>2482</v>
      </c>
      <c r="D45" s="3103"/>
      <c r="E45" s="3104">
        <v>1</v>
      </c>
      <c r="F45" s="3101" t="s">
        <v>2483</v>
      </c>
      <c r="G45" s="3101"/>
    </row>
    <row r="46" spans="1:7" ht="19.5" customHeight="1">
      <c r="A46" s="3965"/>
      <c r="B46" s="3958"/>
      <c r="C46" s="3102" t="s">
        <v>2484</v>
      </c>
      <c r="D46" s="3103"/>
      <c r="E46" s="3104">
        <v>1</v>
      </c>
      <c r="F46" s="3101" t="s">
        <v>2485</v>
      </c>
      <c r="G46" s="3101"/>
    </row>
    <row r="47" spans="1:7" ht="19.5" customHeight="1">
      <c r="A47" s="3965"/>
      <c r="B47" s="3958"/>
      <c r="C47" s="3102" t="s">
        <v>2486</v>
      </c>
      <c r="D47" s="3103"/>
      <c r="E47" s="3104">
        <v>1</v>
      </c>
      <c r="F47" s="3101" t="s">
        <v>2487</v>
      </c>
      <c r="G47" s="3101"/>
    </row>
    <row r="48" spans="1:7" ht="19.5" customHeight="1">
      <c r="A48" s="3965"/>
      <c r="B48" s="3958"/>
      <c r="C48" s="3102" t="s">
        <v>2488</v>
      </c>
      <c r="D48" s="3103"/>
      <c r="E48" s="3104">
        <v>1</v>
      </c>
      <c r="F48" s="3101" t="s">
        <v>2489</v>
      </c>
      <c r="G48" s="3101"/>
    </row>
    <row r="49" spans="1:7" ht="19.5" customHeight="1">
      <c r="A49" s="3965"/>
      <c r="B49" s="3958"/>
      <c r="C49" s="3102" t="s">
        <v>2490</v>
      </c>
      <c r="D49" s="3103"/>
      <c r="E49" s="3104">
        <v>1</v>
      </c>
      <c r="F49" s="3101" t="s">
        <v>2491</v>
      </c>
      <c r="G49" s="3101"/>
    </row>
    <row r="50" spans="1:7" ht="19.5" customHeight="1">
      <c r="A50" s="3965"/>
      <c r="B50" s="3958"/>
      <c r="C50" s="3102" t="s">
        <v>2492</v>
      </c>
      <c r="D50" s="3103"/>
      <c r="E50" s="3104">
        <v>1</v>
      </c>
      <c r="F50" s="3101" t="s">
        <v>2493</v>
      </c>
      <c r="G50" s="3101"/>
    </row>
    <row r="51" spans="1:7" ht="19.5" customHeight="1" thickBot="1">
      <c r="A51" s="3966"/>
      <c r="B51" s="3960"/>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956" t="s">
        <v>2647</v>
      </c>
      <c r="C73" s="3087" t="s">
        <v>2648</v>
      </c>
      <c r="D73" s="3087" t="s">
        <v>2649</v>
      </c>
      <c r="E73" s="3113">
        <v>0.2</v>
      </c>
      <c r="F73" s="3113">
        <v>25</v>
      </c>
    </row>
    <row r="74" spans="1:7" ht="24">
      <c r="A74" s="3113">
        <v>2</v>
      </c>
      <c r="B74" s="3958"/>
      <c r="C74" s="3087" t="s">
        <v>2650</v>
      </c>
      <c r="D74" s="3087" t="s">
        <v>2651</v>
      </c>
      <c r="E74" s="3113">
        <v>0.2</v>
      </c>
      <c r="F74" s="3113">
        <v>25</v>
      </c>
    </row>
    <row r="75" spans="1:7" ht="24">
      <c r="A75" s="3113">
        <v>3</v>
      </c>
      <c r="B75" s="3958"/>
      <c r="C75" s="3087" t="s">
        <v>2652</v>
      </c>
      <c r="D75" s="3087" t="s">
        <v>2653</v>
      </c>
      <c r="E75" s="3113">
        <v>0.2</v>
      </c>
      <c r="F75" s="3113">
        <v>25</v>
      </c>
    </row>
    <row r="76" spans="1:7" ht="13.5">
      <c r="A76" s="3113">
        <v>4</v>
      </c>
      <c r="B76" s="3958"/>
      <c r="C76" s="3087" t="s">
        <v>2654</v>
      </c>
      <c r="D76" s="3087" t="s">
        <v>2655</v>
      </c>
      <c r="E76" s="3113">
        <v>0.15</v>
      </c>
      <c r="F76" s="3113">
        <v>20</v>
      </c>
    </row>
    <row r="77" spans="1:7" ht="24">
      <c r="A77" s="3113">
        <v>5</v>
      </c>
      <c r="B77" s="3958"/>
      <c r="C77" s="3087" t="s">
        <v>2656</v>
      </c>
      <c r="D77" s="3087" t="s">
        <v>2657</v>
      </c>
      <c r="E77" s="3113">
        <v>0.15</v>
      </c>
      <c r="F77" s="3113">
        <v>20</v>
      </c>
    </row>
    <row r="78" spans="1:7" ht="24">
      <c r="A78" s="3113">
        <v>6</v>
      </c>
      <c r="B78" s="3958"/>
      <c r="C78" s="3087" t="s">
        <v>2658</v>
      </c>
      <c r="D78" s="3087" t="s">
        <v>2659</v>
      </c>
      <c r="E78" s="3113">
        <v>0.15</v>
      </c>
      <c r="F78" s="3113">
        <v>20</v>
      </c>
    </row>
    <row r="79" spans="1:7" ht="24">
      <c r="A79" s="3113">
        <v>7</v>
      </c>
      <c r="B79" s="3958"/>
      <c r="C79" s="3087" t="s">
        <v>2660</v>
      </c>
      <c r="D79" s="3087" t="s">
        <v>2661</v>
      </c>
      <c r="E79" s="3113">
        <v>0.15</v>
      </c>
      <c r="F79" s="3113">
        <v>20</v>
      </c>
    </row>
    <row r="80" spans="1:7" ht="24">
      <c r="A80" s="3113">
        <v>8</v>
      </c>
      <c r="B80" s="3958"/>
      <c r="C80" s="3087" t="s">
        <v>2662</v>
      </c>
      <c r="D80" s="3087" t="s">
        <v>2663</v>
      </c>
      <c r="E80" s="3113">
        <v>0.1</v>
      </c>
      <c r="F80" s="3113">
        <v>15</v>
      </c>
    </row>
    <row r="81" spans="1:6" ht="24">
      <c r="A81" s="3113">
        <v>9</v>
      </c>
      <c r="B81" s="3958"/>
      <c r="C81" s="3087" t="s">
        <v>2664</v>
      </c>
      <c r="D81" s="3087" t="s">
        <v>2665</v>
      </c>
      <c r="E81" s="3113">
        <v>0.1</v>
      </c>
      <c r="F81" s="3113">
        <v>15</v>
      </c>
    </row>
    <row r="82" spans="1:6" ht="24">
      <c r="A82" s="3113">
        <v>10</v>
      </c>
      <c r="B82" s="3958"/>
      <c r="C82" s="3087" t="s">
        <v>2666</v>
      </c>
      <c r="D82" s="3087" t="s">
        <v>2667</v>
      </c>
      <c r="E82" s="3113">
        <v>0.1</v>
      </c>
      <c r="F82" s="3113">
        <v>15</v>
      </c>
    </row>
    <row r="83" spans="1:6" ht="24">
      <c r="A83" s="3113">
        <v>11</v>
      </c>
      <c r="B83" s="3958"/>
      <c r="C83" s="3087" t="s">
        <v>2668</v>
      </c>
      <c r="D83" s="3087" t="s">
        <v>2669</v>
      </c>
      <c r="E83" s="3113">
        <v>0.1</v>
      </c>
      <c r="F83" s="3113">
        <v>15</v>
      </c>
    </row>
    <row r="84" spans="1:6" ht="24">
      <c r="A84" s="3113">
        <v>12</v>
      </c>
      <c r="B84" s="3958"/>
      <c r="C84" s="3087" t="s">
        <v>2670</v>
      </c>
      <c r="D84" s="3087" t="s">
        <v>2671</v>
      </c>
      <c r="E84" s="3113">
        <v>0.1</v>
      </c>
      <c r="F84" s="3113">
        <v>15</v>
      </c>
    </row>
    <row r="85" spans="1:6" ht="13.5">
      <c r="A85" s="3113">
        <v>13</v>
      </c>
      <c r="B85" s="3958"/>
      <c r="C85" s="3087" t="s">
        <v>2672</v>
      </c>
      <c r="D85" s="3087" t="s">
        <v>2673</v>
      </c>
      <c r="E85" s="3113">
        <v>0.1</v>
      </c>
      <c r="F85" s="3113">
        <v>15</v>
      </c>
    </row>
    <row r="86" spans="1:6" ht="13.5">
      <c r="A86" s="3113">
        <v>14</v>
      </c>
      <c r="B86" s="3958"/>
      <c r="C86" s="3087" t="s">
        <v>2674</v>
      </c>
      <c r="D86" s="3087" t="s">
        <v>2675</v>
      </c>
      <c r="E86" s="3113">
        <v>0.1</v>
      </c>
      <c r="F86" s="3113">
        <v>15</v>
      </c>
    </row>
    <row r="87" spans="1:6" ht="13.5">
      <c r="A87" s="3113">
        <v>15</v>
      </c>
      <c r="B87" s="3958"/>
      <c r="C87" s="3087" t="s">
        <v>2676</v>
      </c>
      <c r="D87" s="3087" t="s">
        <v>2677</v>
      </c>
      <c r="E87" s="3113">
        <v>0.1</v>
      </c>
      <c r="F87" s="3113">
        <v>15</v>
      </c>
    </row>
    <row r="88" spans="1:6" ht="24">
      <c r="A88" s="3113">
        <v>16</v>
      </c>
      <c r="B88" s="3958"/>
      <c r="C88" s="3087" t="s">
        <v>2678</v>
      </c>
      <c r="D88" s="3087" t="s">
        <v>2679</v>
      </c>
      <c r="E88" s="3113">
        <v>0.1</v>
      </c>
      <c r="F88" s="3113">
        <v>15</v>
      </c>
    </row>
    <row r="89" spans="1:6" ht="24">
      <c r="A89" s="3113">
        <v>17</v>
      </c>
      <c r="B89" s="3957"/>
      <c r="C89" s="3087" t="s">
        <v>2680</v>
      </c>
      <c r="D89" s="3087" t="s">
        <v>2681</v>
      </c>
      <c r="E89" s="3113">
        <v>0.1</v>
      </c>
      <c r="F89" s="3113">
        <v>15</v>
      </c>
    </row>
    <row r="90" spans="1:6" ht="13.5">
      <c r="A90" s="3113">
        <v>18</v>
      </c>
      <c r="B90" s="3956" t="s">
        <v>2682</v>
      </c>
      <c r="C90" s="3087" t="s">
        <v>2683</v>
      </c>
      <c r="D90" s="3087" t="s">
        <v>2684</v>
      </c>
      <c r="E90" s="3113">
        <v>0.2</v>
      </c>
      <c r="F90" s="3113">
        <v>25</v>
      </c>
    </row>
    <row r="91" spans="1:6" ht="24">
      <c r="A91" s="3113">
        <v>19</v>
      </c>
      <c r="B91" s="3958"/>
      <c r="C91" s="3087" t="s">
        <v>2685</v>
      </c>
      <c r="D91" s="3087" t="s">
        <v>2686</v>
      </c>
      <c r="E91" s="3113">
        <v>0.2</v>
      </c>
      <c r="F91" s="3113">
        <v>25</v>
      </c>
    </row>
    <row r="92" spans="1:6" ht="13.5">
      <c r="A92" s="3113">
        <v>20</v>
      </c>
      <c r="B92" s="3958"/>
      <c r="C92" s="3087" t="s">
        <v>2687</v>
      </c>
      <c r="D92" s="3087" t="s">
        <v>2688</v>
      </c>
      <c r="E92" s="3113">
        <v>0.15</v>
      </c>
      <c r="F92" s="3113">
        <v>20</v>
      </c>
    </row>
    <row r="93" spans="1:6" ht="13.5">
      <c r="A93" s="3113">
        <v>21</v>
      </c>
      <c r="B93" s="3958"/>
      <c r="C93" s="3087" t="s">
        <v>2689</v>
      </c>
      <c r="D93" s="3087" t="s">
        <v>2690</v>
      </c>
      <c r="E93" s="3113">
        <v>0.15</v>
      </c>
      <c r="F93" s="3113">
        <v>20</v>
      </c>
    </row>
    <row r="94" spans="1:6" ht="13.5">
      <c r="A94" s="3113">
        <v>22</v>
      </c>
      <c r="B94" s="3958"/>
      <c r="C94" s="3087" t="s">
        <v>2691</v>
      </c>
      <c r="D94" s="3087" t="s">
        <v>2692</v>
      </c>
      <c r="E94" s="3113">
        <v>0.15</v>
      </c>
      <c r="F94" s="3113">
        <v>20</v>
      </c>
    </row>
    <row r="95" spans="1:6" ht="36">
      <c r="A95" s="3113">
        <v>23</v>
      </c>
      <c r="B95" s="3958"/>
      <c r="C95" s="3087" t="s">
        <v>2693</v>
      </c>
      <c r="D95" s="3087" t="s">
        <v>2694</v>
      </c>
      <c r="E95" s="3113">
        <v>0.15</v>
      </c>
      <c r="F95" s="3113">
        <v>20</v>
      </c>
    </row>
    <row r="96" spans="1:6" ht="13.5">
      <c r="A96" s="3113">
        <v>24</v>
      </c>
      <c r="B96" s="3958"/>
      <c r="C96" s="3087" t="s">
        <v>2695</v>
      </c>
      <c r="D96" s="3087" t="s">
        <v>2696</v>
      </c>
      <c r="E96" s="3113">
        <v>0.1</v>
      </c>
      <c r="F96" s="3113">
        <v>15</v>
      </c>
    </row>
    <row r="97" spans="1:6" ht="13.5">
      <c r="A97" s="3113">
        <v>25</v>
      </c>
      <c r="B97" s="3958"/>
      <c r="C97" s="3087" t="s">
        <v>2697</v>
      </c>
      <c r="D97" s="3087" t="s">
        <v>2698</v>
      </c>
      <c r="E97" s="3113">
        <v>0.1</v>
      </c>
      <c r="F97" s="3113">
        <v>15</v>
      </c>
    </row>
    <row r="98" spans="1:6" ht="24">
      <c r="A98" s="3113">
        <v>26</v>
      </c>
      <c r="B98" s="3958"/>
      <c r="C98" s="3087" t="s">
        <v>2699</v>
      </c>
      <c r="D98" s="3087" t="s">
        <v>2700</v>
      </c>
      <c r="E98" s="3113">
        <v>0.1</v>
      </c>
      <c r="F98" s="3113">
        <v>15</v>
      </c>
    </row>
    <row r="99" spans="1:6" ht="24">
      <c r="A99" s="3113">
        <v>27</v>
      </c>
      <c r="B99" s="3958"/>
      <c r="C99" s="3087" t="s">
        <v>2701</v>
      </c>
      <c r="D99" s="3087" t="s">
        <v>2702</v>
      </c>
      <c r="E99" s="3113">
        <v>0.1</v>
      </c>
      <c r="F99" s="3113">
        <v>15</v>
      </c>
    </row>
    <row r="100" spans="1:6" ht="13.5">
      <c r="A100" s="3113">
        <v>28</v>
      </c>
      <c r="B100" s="3958"/>
      <c r="C100" s="3087" t="s">
        <v>2703</v>
      </c>
      <c r="D100" s="3087" t="s">
        <v>2704</v>
      </c>
      <c r="E100" s="3113">
        <v>0.1</v>
      </c>
      <c r="F100" s="3113">
        <v>15</v>
      </c>
    </row>
    <row r="101" spans="1:6" ht="13.5">
      <c r="A101" s="3113">
        <v>29</v>
      </c>
      <c r="B101" s="3958"/>
      <c r="C101" s="3087" t="s">
        <v>2705</v>
      </c>
      <c r="D101" s="3087" t="s">
        <v>2706</v>
      </c>
      <c r="E101" s="3113">
        <v>0.1</v>
      </c>
      <c r="F101" s="3113">
        <v>15</v>
      </c>
    </row>
    <row r="102" spans="1:6" ht="13.5">
      <c r="A102" s="3113">
        <v>30</v>
      </c>
      <c r="B102" s="3958"/>
      <c r="C102" s="3087" t="s">
        <v>2707</v>
      </c>
      <c r="D102" s="3087" t="s">
        <v>2708</v>
      </c>
      <c r="E102" s="3113">
        <v>0.1</v>
      </c>
      <c r="F102" s="3113">
        <v>15</v>
      </c>
    </row>
    <row r="103" spans="1:6" ht="24">
      <c r="A103" s="3113">
        <v>31</v>
      </c>
      <c r="B103" s="3958"/>
      <c r="C103" s="3087" t="s">
        <v>2709</v>
      </c>
      <c r="D103" s="3087" t="s">
        <v>2710</v>
      </c>
      <c r="E103" s="3113">
        <v>0.1</v>
      </c>
      <c r="F103" s="3113">
        <v>15</v>
      </c>
    </row>
    <row r="104" spans="1:6" ht="24">
      <c r="A104" s="3113">
        <v>32</v>
      </c>
      <c r="B104" s="3958"/>
      <c r="C104" s="3087" t="s">
        <v>2711</v>
      </c>
      <c r="D104" s="3087" t="s">
        <v>2712</v>
      </c>
      <c r="E104" s="3113">
        <v>0.1</v>
      </c>
      <c r="F104" s="3113">
        <v>15</v>
      </c>
    </row>
    <row r="105" spans="1:6" ht="24">
      <c r="A105" s="3113">
        <v>33</v>
      </c>
      <c r="B105" s="3958"/>
      <c r="C105" s="3087" t="s">
        <v>2713</v>
      </c>
      <c r="D105" s="3087" t="s">
        <v>2714</v>
      </c>
      <c r="E105" s="3113">
        <v>0.1</v>
      </c>
      <c r="F105" s="3113">
        <v>15</v>
      </c>
    </row>
    <row r="106" spans="1:6" ht="24">
      <c r="A106" s="3113">
        <v>34</v>
      </c>
      <c r="B106" s="3957"/>
      <c r="C106" s="3087" t="s">
        <v>2715</v>
      </c>
      <c r="D106" s="3087" t="s">
        <v>2716</v>
      </c>
      <c r="E106" s="3113">
        <v>0.1</v>
      </c>
      <c r="F106" s="3113">
        <v>15</v>
      </c>
    </row>
    <row r="107" spans="1:6" ht="24">
      <c r="A107" s="3113">
        <v>35</v>
      </c>
      <c r="B107" s="3956" t="s">
        <v>2717</v>
      </c>
      <c r="C107" s="3113" t="s">
        <v>2718</v>
      </c>
      <c r="D107" s="3087" t="s">
        <v>2719</v>
      </c>
      <c r="E107" s="3113">
        <v>0.15</v>
      </c>
      <c r="F107" s="3113">
        <v>20</v>
      </c>
    </row>
    <row r="108" spans="1:6" ht="13.5">
      <c r="A108" s="3113">
        <v>36</v>
      </c>
      <c r="B108" s="3958"/>
      <c r="C108" s="3113" t="s">
        <v>2720</v>
      </c>
      <c r="D108" s="3087" t="s">
        <v>2721</v>
      </c>
      <c r="E108" s="3113">
        <v>0.15</v>
      </c>
      <c r="F108" s="3113">
        <v>20</v>
      </c>
    </row>
    <row r="109" spans="1:6" ht="13.5">
      <c r="A109" s="3113">
        <v>37</v>
      </c>
      <c r="B109" s="3958"/>
      <c r="C109" s="3113" t="s">
        <v>2722</v>
      </c>
      <c r="D109" s="3087" t="s">
        <v>2723</v>
      </c>
      <c r="E109" s="3113">
        <v>0.15</v>
      </c>
      <c r="F109" s="3113">
        <v>20</v>
      </c>
    </row>
    <row r="110" spans="1:6" ht="13.5">
      <c r="A110" s="3113">
        <v>38</v>
      </c>
      <c r="B110" s="3958"/>
      <c r="C110" s="3113" t="s">
        <v>2724</v>
      </c>
      <c r="D110" s="3087" t="s">
        <v>2725</v>
      </c>
      <c r="E110" s="3113">
        <v>0.1</v>
      </c>
      <c r="F110" s="3113">
        <v>15</v>
      </c>
    </row>
    <row r="111" spans="1:6" ht="24">
      <c r="A111" s="3113">
        <v>39</v>
      </c>
      <c r="B111" s="3958"/>
      <c r="C111" s="3113" t="s">
        <v>2726</v>
      </c>
      <c r="D111" s="3087" t="s">
        <v>2727</v>
      </c>
      <c r="E111" s="3113">
        <v>0.1</v>
      </c>
      <c r="F111" s="3113">
        <v>15</v>
      </c>
    </row>
    <row r="112" spans="1:6" ht="24">
      <c r="A112" s="3113">
        <v>40</v>
      </c>
      <c r="B112" s="3957"/>
      <c r="C112" s="3113" t="s">
        <v>2728</v>
      </c>
      <c r="D112" s="3087" t="s">
        <v>2729</v>
      </c>
      <c r="E112" s="3113">
        <v>0.1</v>
      </c>
      <c r="F112" s="3113">
        <v>15</v>
      </c>
    </row>
    <row r="113" spans="1:6" ht="13.5">
      <c r="A113" s="3113">
        <v>41</v>
      </c>
      <c r="B113" s="3955" t="s">
        <v>2730</v>
      </c>
      <c r="C113" s="3113" t="s">
        <v>2731</v>
      </c>
      <c r="D113" s="3087" t="s">
        <v>2732</v>
      </c>
      <c r="E113" s="3113">
        <v>0.1</v>
      </c>
      <c r="F113" s="3113">
        <v>15</v>
      </c>
    </row>
    <row r="114" spans="1:6" ht="13.5">
      <c r="A114" s="3113">
        <v>42</v>
      </c>
      <c r="B114" s="3955"/>
      <c r="C114" s="3113" t="s">
        <v>2733</v>
      </c>
      <c r="D114" s="3087" t="s">
        <v>2734</v>
      </c>
      <c r="E114" s="3113">
        <v>0.1</v>
      </c>
      <c r="F114" s="3113">
        <v>15</v>
      </c>
    </row>
    <row r="115" spans="1:6" ht="24">
      <c r="A115" s="3113">
        <v>43</v>
      </c>
      <c r="B115" s="3955"/>
      <c r="C115" s="3113" t="s">
        <v>2735</v>
      </c>
      <c r="D115" s="3087" t="s">
        <v>2736</v>
      </c>
      <c r="E115" s="3113">
        <v>0.1</v>
      </c>
      <c r="F115" s="3113">
        <v>15</v>
      </c>
    </row>
    <row r="116" spans="1:6" ht="13.5">
      <c r="A116" s="3113">
        <v>44</v>
      </c>
      <c r="B116" s="3956" t="s">
        <v>2737</v>
      </c>
      <c r="C116" s="3113" t="s">
        <v>2738</v>
      </c>
      <c r="D116" s="3087" t="s">
        <v>2739</v>
      </c>
      <c r="E116" s="3113">
        <v>0.1</v>
      </c>
      <c r="F116" s="3113">
        <v>15</v>
      </c>
    </row>
    <row r="117" spans="1:6" ht="24">
      <c r="A117" s="3113">
        <v>45</v>
      </c>
      <c r="B117" s="3957"/>
      <c r="C117" s="3087" t="s">
        <v>2740</v>
      </c>
      <c r="D117" s="3087" t="s">
        <v>2741</v>
      </c>
      <c r="E117" s="3113">
        <v>0.1</v>
      </c>
      <c r="F117" s="3113">
        <v>15</v>
      </c>
    </row>
    <row r="118" spans="1:6" ht="24">
      <c r="A118" s="3113">
        <v>46</v>
      </c>
      <c r="B118" s="3956" t="s">
        <v>2742</v>
      </c>
      <c r="C118" s="3113" t="s">
        <v>2743</v>
      </c>
      <c r="D118" s="3087" t="s">
        <v>2744</v>
      </c>
      <c r="E118" s="3113">
        <v>0.1</v>
      </c>
      <c r="F118" s="3113">
        <v>15</v>
      </c>
    </row>
    <row r="119" spans="1:6" ht="24">
      <c r="A119" s="3113">
        <v>47</v>
      </c>
      <c r="B119" s="3957"/>
      <c r="C119" s="3113" t="s">
        <v>2745</v>
      </c>
      <c r="D119" s="3087" t="s">
        <v>2746</v>
      </c>
      <c r="E119" s="3113">
        <v>0.1</v>
      </c>
      <c r="F119" s="3113">
        <v>15</v>
      </c>
    </row>
    <row r="120" spans="1:6" ht="13.5">
      <c r="A120" s="3113">
        <v>48</v>
      </c>
      <c r="B120" s="3956" t="s">
        <v>2747</v>
      </c>
      <c r="C120" s="3113" t="s">
        <v>2748</v>
      </c>
      <c r="D120" s="3087" t="s">
        <v>2749</v>
      </c>
      <c r="E120" s="3113">
        <v>0.1</v>
      </c>
      <c r="F120" s="3113">
        <v>15</v>
      </c>
    </row>
    <row r="121" spans="1:6" ht="13.5">
      <c r="A121" s="3113">
        <v>49</v>
      </c>
      <c r="B121" s="3957"/>
      <c r="C121" s="3113" t="s">
        <v>2750</v>
      </c>
      <c r="D121" s="3087" t="s">
        <v>2751</v>
      </c>
      <c r="E121" s="3113">
        <v>0.1</v>
      </c>
      <c r="F121" s="3113">
        <v>15</v>
      </c>
    </row>
    <row r="122" spans="1:6" ht="24">
      <c r="A122" s="3113">
        <v>50</v>
      </c>
      <c r="B122" s="3955" t="s">
        <v>2752</v>
      </c>
      <c r="C122" s="3113" t="s">
        <v>2753</v>
      </c>
      <c r="D122" s="3087" t="s">
        <v>2754</v>
      </c>
      <c r="E122" s="3113">
        <v>0.1</v>
      </c>
      <c r="F122" s="3113">
        <v>15</v>
      </c>
    </row>
    <row r="123" spans="1:6" ht="24">
      <c r="A123" s="3113">
        <v>51</v>
      </c>
      <c r="B123" s="3955"/>
      <c r="C123" s="3113" t="s">
        <v>2755</v>
      </c>
      <c r="D123" s="3087" t="s">
        <v>2756</v>
      </c>
      <c r="E123" s="3113">
        <v>0.1</v>
      </c>
      <c r="F123" s="3113">
        <v>15</v>
      </c>
    </row>
    <row r="124" spans="1:6" ht="24">
      <c r="A124" s="3113">
        <v>52</v>
      </c>
      <c r="B124" s="3955" t="s">
        <v>2757</v>
      </c>
      <c r="C124" s="3113" t="s">
        <v>2758</v>
      </c>
      <c r="D124" s="3087" t="s">
        <v>2759</v>
      </c>
      <c r="E124" s="3113">
        <v>0.1</v>
      </c>
      <c r="F124" s="3113">
        <v>15</v>
      </c>
    </row>
    <row r="125" spans="1:6" ht="24">
      <c r="A125" s="3113">
        <v>53</v>
      </c>
      <c r="B125" s="3955"/>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955" t="s">
        <v>2765</v>
      </c>
      <c r="C127" s="3113" t="s">
        <v>2766</v>
      </c>
      <c r="D127" s="3087" t="s">
        <v>2767</v>
      </c>
      <c r="E127" s="3113">
        <v>0.1</v>
      </c>
      <c r="F127" s="3113">
        <v>15</v>
      </c>
    </row>
    <row r="128" spans="1:6" ht="13.5">
      <c r="A128" s="3113">
        <v>56</v>
      </c>
      <c r="B128" s="3955"/>
      <c r="C128" s="3113" t="s">
        <v>2768</v>
      </c>
      <c r="D128" s="3087" t="s">
        <v>2769</v>
      </c>
      <c r="E128" s="3113">
        <v>0.1</v>
      </c>
      <c r="F128" s="3113">
        <v>15</v>
      </c>
    </row>
    <row r="129" spans="1:6" ht="24">
      <c r="A129" s="3113">
        <v>57</v>
      </c>
      <c r="B129" s="3955"/>
      <c r="C129" s="3113" t="s">
        <v>2770</v>
      </c>
      <c r="D129" s="3087" t="s">
        <v>2771</v>
      </c>
      <c r="E129" s="3113">
        <v>0.1</v>
      </c>
      <c r="F129" s="3113">
        <v>15</v>
      </c>
    </row>
    <row r="130" spans="1:6" ht="24">
      <c r="A130" s="3113">
        <v>58</v>
      </c>
      <c r="B130" s="3955" t="s">
        <v>2772</v>
      </c>
      <c r="C130" s="3113" t="s">
        <v>2773</v>
      </c>
      <c r="D130" s="3087" t="s">
        <v>2774</v>
      </c>
      <c r="E130" s="3113">
        <v>0.1</v>
      </c>
      <c r="F130" s="3113">
        <v>15</v>
      </c>
    </row>
    <row r="131" spans="1:6" ht="13.5">
      <c r="A131" s="3113">
        <v>59</v>
      </c>
      <c r="B131" s="3955"/>
      <c r="C131" s="3113" t="s">
        <v>2775</v>
      </c>
      <c r="D131" s="3087" t="s">
        <v>2776</v>
      </c>
      <c r="E131" s="3113">
        <v>0.1</v>
      </c>
      <c r="F131" s="3113">
        <v>15</v>
      </c>
    </row>
    <row r="132" spans="1:6" ht="13.5">
      <c r="A132" s="3113">
        <v>60</v>
      </c>
      <c r="B132" s="3956" t="s">
        <v>2777</v>
      </c>
      <c r="C132" s="3113" t="s">
        <v>2778</v>
      </c>
      <c r="D132" s="3087" t="s">
        <v>2779</v>
      </c>
      <c r="E132" s="3113">
        <v>0.1</v>
      </c>
      <c r="F132" s="3113">
        <v>15</v>
      </c>
    </row>
    <row r="133" spans="1:6" ht="13.5">
      <c r="A133" s="3113">
        <v>61</v>
      </c>
      <c r="B133" s="3957"/>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955" t="s">
        <v>2785</v>
      </c>
      <c r="C135" s="3113" t="s">
        <v>2786</v>
      </c>
      <c r="D135" s="3087" t="s">
        <v>2787</v>
      </c>
      <c r="E135" s="3113">
        <v>0.1</v>
      </c>
      <c r="F135" s="3113">
        <v>15</v>
      </c>
    </row>
    <row r="136" spans="1:6" ht="13.5">
      <c r="A136" s="3113">
        <v>64</v>
      </c>
      <c r="B136" s="3955"/>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0</v>
      </c>
      <c r="D9" s="845">
        <f>'数据-汇总表'!E5</f>
        <v>0</v>
      </c>
      <c r="E9" s="225">
        <f>'数据-取费表'!B27</f>
        <v>160</v>
      </c>
      <c r="F9" s="221"/>
      <c r="G9" s="226"/>
    </row>
    <row r="10" spans="1:7" s="214" customFormat="1" ht="13.5" customHeight="1">
      <c r="A10" s="779" t="s">
        <v>352</v>
      </c>
      <c r="B10" s="224" t="s">
        <v>63</v>
      </c>
      <c r="C10" s="225">
        <f>ROUND(D10*E10/10000,0)</f>
        <v>3</v>
      </c>
      <c r="D10" s="845">
        <f>'数据-汇总表'!E6</f>
        <v>140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3</v>
      </c>
      <c r="D19" s="849">
        <f>'数据-汇总表'!E3</f>
        <v>140</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3</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3</v>
      </c>
      <c r="D37" s="217">
        <f>'数据-汇总表'!E3</f>
        <v>140</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60" t="s">
        <v>90</v>
      </c>
    </row>
    <row r="43" spans="1:7" ht="13.5" customHeight="1">
      <c r="A43" s="780" t="s">
        <v>343</v>
      </c>
      <c r="B43" s="215" t="s">
        <v>422</v>
      </c>
      <c r="C43" s="238">
        <f ca="1">ROUND(IF('数据-取费表'!B22&lt;=1,C39*F22*'数据-取费表'!B21/2,C39*(POWER((1+F22),'数据-取费表'!B21/2)-1)),0)</f>
        <v>0</v>
      </c>
      <c r="D43" s="238"/>
      <c r="E43" s="238"/>
      <c r="F43" s="239"/>
      <c r="G43" s="3761"/>
    </row>
    <row r="44" spans="1:7" ht="13.5" customHeight="1">
      <c r="A44" s="780" t="s">
        <v>344</v>
      </c>
      <c r="B44" s="215" t="s">
        <v>424</v>
      </c>
      <c r="C44" s="238">
        <f ca="1">ROUND(IF('数据-取费表'!B22&lt;=1,C40*F22*'数据-取费表'!B21/2,C40*(POWER((1+F22),'数据-取费表'!B21/2)-1)),4)</f>
        <v>6.9999999999999999E-4</v>
      </c>
      <c r="D44" s="238"/>
      <c r="E44" s="238"/>
      <c r="F44" s="239"/>
      <c r="G44" s="3762"/>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69" t="s">
        <v>2839</v>
      </c>
      <c r="B1" s="3969"/>
      <c r="C1" s="3969"/>
      <c r="D1" s="3969"/>
      <c r="E1" s="3969"/>
      <c r="F1" s="3969"/>
      <c r="G1" s="3970"/>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967" t="s">
        <v>2866</v>
      </c>
      <c r="B3" s="3225"/>
      <c r="C3" s="3226" t="s">
        <v>2807</v>
      </c>
      <c r="D3" s="3226" t="s">
        <v>2867</v>
      </c>
      <c r="E3" s="3226" t="s">
        <v>2809</v>
      </c>
      <c r="F3" s="3226" t="s">
        <v>2868</v>
      </c>
      <c r="G3" s="3226" t="s">
        <v>2627</v>
      </c>
      <c r="H3" s="3227"/>
      <c r="I3" s="3228" t="s">
        <v>2869</v>
      </c>
      <c r="J3" s="3229" t="s">
        <v>124</v>
      </c>
      <c r="K3" s="3229" t="s">
        <v>125</v>
      </c>
      <c r="L3" s="3228" t="s">
        <v>126</v>
      </c>
      <c r="M3" s="3228" t="s">
        <v>127</v>
      </c>
      <c r="N3" s="3228" t="s">
        <v>128</v>
      </c>
      <c r="O3" s="3228" t="s">
        <v>129</v>
      </c>
      <c r="P3" s="3228" t="s">
        <v>130</v>
      </c>
      <c r="Q3" s="3228" t="s">
        <v>131</v>
      </c>
      <c r="R3" s="3228" t="s">
        <v>132</v>
      </c>
      <c r="S3" s="3228" t="s">
        <v>2870</v>
      </c>
      <c r="T3" s="3228" t="s">
        <v>2871</v>
      </c>
    </row>
    <row r="4" spans="1:20" s="3230" customFormat="1" ht="12" thickBot="1">
      <c r="A4" s="3968"/>
      <c r="B4" s="3231" t="s">
        <v>2872</v>
      </c>
      <c r="C4" s="3231" t="s">
        <v>2873</v>
      </c>
      <c r="D4" s="3231" t="s">
        <v>2873</v>
      </c>
      <c r="E4" s="3231" t="s">
        <v>2873</v>
      </c>
      <c r="F4" s="3232" t="s">
        <v>2873</v>
      </c>
      <c r="G4" s="3232" t="s">
        <v>2873</v>
      </c>
      <c r="H4" s="3227"/>
      <c r="I4" s="3229" t="s">
        <v>133</v>
      </c>
      <c r="J4" s="3229" t="s">
        <v>107</v>
      </c>
      <c r="K4" s="3229" t="s">
        <v>134</v>
      </c>
      <c r="L4" s="3228" t="s">
        <v>135</v>
      </c>
      <c r="M4" s="3228" t="s">
        <v>136</v>
      </c>
      <c r="N4" s="3228" t="s">
        <v>137</v>
      </c>
      <c r="O4" s="3228" t="s">
        <v>138</v>
      </c>
      <c r="P4" s="3228" t="s">
        <v>139</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141</v>
      </c>
      <c r="J5" s="3229" t="s">
        <v>142</v>
      </c>
      <c r="K5" s="3229" t="s">
        <v>143</v>
      </c>
      <c r="L5" s="3228" t="s">
        <v>144</v>
      </c>
      <c r="M5" s="3228" t="s">
        <v>145</v>
      </c>
      <c r="N5" s="3228" t="s">
        <v>146</v>
      </c>
      <c r="O5" s="3228" t="s">
        <v>147</v>
      </c>
      <c r="P5" s="3228" t="s">
        <v>148</v>
      </c>
      <c r="Q5" s="3228" t="s">
        <v>2878</v>
      </c>
      <c r="R5" s="3228" t="s">
        <v>2879</v>
      </c>
      <c r="S5" s="3228" t="s">
        <v>149</v>
      </c>
      <c r="T5" s="3228" t="s">
        <v>2880</v>
      </c>
    </row>
    <row r="6" spans="1:20" ht="12" thickBot="1">
      <c r="A6" s="3228" t="s">
        <v>140</v>
      </c>
      <c r="B6" s="3228" t="s">
        <v>2869</v>
      </c>
      <c r="C6" s="3228">
        <v>36990</v>
      </c>
      <c r="D6" s="3228">
        <v>36850</v>
      </c>
      <c r="E6" s="3228">
        <v>36700</v>
      </c>
      <c r="F6" s="3228">
        <v>14590</v>
      </c>
      <c r="G6" s="3228">
        <v>27450</v>
      </c>
      <c r="H6" s="3227"/>
      <c r="I6" s="3234" t="s">
        <v>150</v>
      </c>
      <c r="J6" s="3229" t="s">
        <v>151</v>
      </c>
      <c r="K6" s="3229" t="s">
        <v>152</v>
      </c>
      <c r="L6" s="3228" t="s">
        <v>153</v>
      </c>
      <c r="M6" s="3228" t="s">
        <v>154</v>
      </c>
      <c r="N6" s="3228" t="s">
        <v>155</v>
      </c>
      <c r="O6" s="3228" t="s">
        <v>156</v>
      </c>
      <c r="P6" s="3228" t="s">
        <v>2881</v>
      </c>
      <c r="Q6" s="3228" t="s">
        <v>2882</v>
      </c>
      <c r="R6" s="3228" t="s">
        <v>157</v>
      </c>
      <c r="S6" s="3228" t="s">
        <v>2883</v>
      </c>
      <c r="T6" s="3228" t="s">
        <v>2884</v>
      </c>
    </row>
    <row r="7" spans="1:20">
      <c r="A7" s="3228" t="s">
        <v>140</v>
      </c>
      <c r="B7" s="3229" t="s">
        <v>133</v>
      </c>
      <c r="C7" s="3228">
        <v>34850</v>
      </c>
      <c r="D7" s="3228">
        <v>34690</v>
      </c>
      <c r="E7" s="3228">
        <v>34550</v>
      </c>
      <c r="F7" s="3228">
        <v>14360</v>
      </c>
      <c r="G7" s="3228">
        <v>25620</v>
      </c>
      <c r="H7" s="3227"/>
      <c r="J7" s="3229" t="s">
        <v>158</v>
      </c>
      <c r="K7" s="3229" t="s">
        <v>159</v>
      </c>
      <c r="L7" s="3228" t="s">
        <v>160</v>
      </c>
      <c r="M7" s="3228" t="s">
        <v>161</v>
      </c>
      <c r="N7" s="3228" t="s">
        <v>162</v>
      </c>
      <c r="O7" s="3228" t="s">
        <v>163</v>
      </c>
      <c r="P7" s="3228" t="s">
        <v>2885</v>
      </c>
      <c r="Q7" s="3228" t="s">
        <v>2886</v>
      </c>
      <c r="R7" s="3228" t="s">
        <v>2887</v>
      </c>
      <c r="S7" s="3228" t="s">
        <v>2888</v>
      </c>
      <c r="T7" s="3228" t="s">
        <v>2889</v>
      </c>
    </row>
    <row r="8" spans="1:20" ht="12" thickBot="1">
      <c r="A8" s="3228" t="s">
        <v>140</v>
      </c>
      <c r="B8" s="3228" t="s">
        <v>141</v>
      </c>
      <c r="C8" s="3228">
        <v>32630</v>
      </c>
      <c r="D8" s="3228">
        <v>32510</v>
      </c>
      <c r="E8" s="3228">
        <v>32420</v>
      </c>
      <c r="F8" s="3228">
        <v>13300</v>
      </c>
      <c r="G8" s="3228">
        <v>24010</v>
      </c>
      <c r="H8" s="3227"/>
      <c r="J8" s="3229" t="s">
        <v>164</v>
      </c>
      <c r="K8" s="3229" t="s">
        <v>165</v>
      </c>
      <c r="L8" s="3228" t="s">
        <v>166</v>
      </c>
      <c r="M8" s="3228" t="s">
        <v>167</v>
      </c>
      <c r="N8" s="3228" t="s">
        <v>168</v>
      </c>
      <c r="O8" s="3228" t="s">
        <v>169</v>
      </c>
      <c r="P8" s="3228" t="s">
        <v>2890</v>
      </c>
      <c r="Q8" s="3228" t="s">
        <v>170</v>
      </c>
      <c r="R8" s="3228" t="s">
        <v>2891</v>
      </c>
      <c r="S8" s="3228" t="s">
        <v>2892</v>
      </c>
      <c r="T8" s="3235" t="s">
        <v>2893</v>
      </c>
    </row>
    <row r="9" spans="1:20" ht="12" thickBot="1">
      <c r="A9" s="3236" t="s">
        <v>140</v>
      </c>
      <c r="B9" s="3234" t="s">
        <v>150</v>
      </c>
      <c r="C9" s="3235">
        <v>36370</v>
      </c>
      <c r="D9" s="3235">
        <v>36210</v>
      </c>
      <c r="E9" s="3235">
        <v>36050</v>
      </c>
      <c r="F9" s="3235"/>
      <c r="G9" s="3235">
        <v>26740</v>
      </c>
      <c r="H9" s="3227"/>
      <c r="J9" s="3229" t="s">
        <v>171</v>
      </c>
      <c r="K9" s="3229" t="s">
        <v>172</v>
      </c>
      <c r="L9" s="3228" t="s">
        <v>173</v>
      </c>
      <c r="M9" s="3228" t="s">
        <v>174</v>
      </c>
      <c r="N9" s="3228" t="s">
        <v>175</v>
      </c>
      <c r="O9" s="3228" t="s">
        <v>176</v>
      </c>
      <c r="P9" s="3228" t="s">
        <v>2894</v>
      </c>
      <c r="Q9" s="3228" t="s">
        <v>178</v>
      </c>
      <c r="R9" s="3228" t="s">
        <v>179</v>
      </c>
      <c r="S9" s="3228" t="s">
        <v>196</v>
      </c>
    </row>
    <row r="10" spans="1:20">
      <c r="A10" s="3233" t="s">
        <v>180</v>
      </c>
      <c r="B10" s="3224" t="s">
        <v>2855</v>
      </c>
      <c r="C10" s="3228">
        <v>32350</v>
      </c>
      <c r="D10" s="3228">
        <v>31430</v>
      </c>
      <c r="E10" s="3228">
        <v>31320</v>
      </c>
      <c r="F10" s="3228">
        <v>10850</v>
      </c>
      <c r="G10" s="3228">
        <v>22860</v>
      </c>
      <c r="H10" s="3227"/>
      <c r="J10" s="3229" t="s">
        <v>181</v>
      </c>
      <c r="K10" s="3229" t="s">
        <v>182</v>
      </c>
      <c r="L10" s="3228" t="s">
        <v>183</v>
      </c>
      <c r="M10" s="3228" t="s">
        <v>184</v>
      </c>
      <c r="N10" s="3228" t="s">
        <v>185</v>
      </c>
      <c r="O10" s="3228" t="s">
        <v>186</v>
      </c>
      <c r="P10" s="3228" t="s">
        <v>177</v>
      </c>
      <c r="Q10" s="3228" t="s">
        <v>188</v>
      </c>
      <c r="R10" s="3228" t="s">
        <v>189</v>
      </c>
      <c r="S10" s="3228" t="s">
        <v>2895</v>
      </c>
    </row>
    <row r="11" spans="1:20">
      <c r="A11" s="3228" t="s">
        <v>180</v>
      </c>
      <c r="B11" s="3229" t="s">
        <v>124</v>
      </c>
      <c r="C11" s="3228">
        <v>31590</v>
      </c>
      <c r="D11" s="3228">
        <v>29490</v>
      </c>
      <c r="E11" s="3228">
        <v>28700</v>
      </c>
      <c r="F11" s="3228">
        <v>10410</v>
      </c>
      <c r="G11" s="3228">
        <v>21460</v>
      </c>
      <c r="H11" s="3227"/>
      <c r="J11" s="3229" t="s">
        <v>190</v>
      </c>
      <c r="K11" s="3229" t="s">
        <v>191</v>
      </c>
      <c r="L11" s="3228" t="s">
        <v>192</v>
      </c>
      <c r="M11" s="3228" t="s">
        <v>193</v>
      </c>
      <c r="N11" s="3228" t="s">
        <v>194</v>
      </c>
      <c r="O11" s="3228" t="s">
        <v>2896</v>
      </c>
      <c r="P11" s="3228" t="s">
        <v>187</v>
      </c>
      <c r="Q11" s="3228" t="s">
        <v>195</v>
      </c>
      <c r="R11" s="3228" t="s">
        <v>2897</v>
      </c>
      <c r="S11" s="3228" t="s">
        <v>2898</v>
      </c>
    </row>
    <row r="12" spans="1:20">
      <c r="A12" s="3228" t="s">
        <v>180</v>
      </c>
      <c r="B12" s="3229" t="s">
        <v>107</v>
      </c>
      <c r="C12" s="3228">
        <v>29640</v>
      </c>
      <c r="D12" s="3228">
        <v>27550</v>
      </c>
      <c r="E12" s="3228">
        <v>28010</v>
      </c>
      <c r="F12" s="3228">
        <v>8730</v>
      </c>
      <c r="G12" s="3228">
        <v>20050</v>
      </c>
      <c r="H12" s="3227"/>
      <c r="J12" s="3229" t="s">
        <v>197</v>
      </c>
      <c r="K12" s="3229" t="s">
        <v>198</v>
      </c>
      <c r="L12" s="3228" t="s">
        <v>199</v>
      </c>
      <c r="M12" s="3228" t="s">
        <v>200</v>
      </c>
      <c r="N12" s="3228" t="s">
        <v>201</v>
      </c>
      <c r="O12" s="3228" t="s">
        <v>2899</v>
      </c>
      <c r="P12" s="3228" t="s">
        <v>2900</v>
      </c>
      <c r="Q12" s="3228" t="s">
        <v>2901</v>
      </c>
      <c r="R12" s="3228" t="s">
        <v>2902</v>
      </c>
      <c r="S12" s="3228" t="s">
        <v>2903</v>
      </c>
    </row>
    <row r="13" spans="1:20">
      <c r="A13" s="3228" t="s">
        <v>180</v>
      </c>
      <c r="B13" s="3229" t="s">
        <v>142</v>
      </c>
      <c r="C13" s="3228">
        <v>29680</v>
      </c>
      <c r="D13" s="3228">
        <v>27660</v>
      </c>
      <c r="E13" s="3228">
        <v>28210</v>
      </c>
      <c r="F13" s="3228">
        <v>9590</v>
      </c>
      <c r="G13" s="3228">
        <v>20120</v>
      </c>
      <c r="H13" s="3227"/>
      <c r="J13" s="3229" t="s">
        <v>204</v>
      </c>
      <c r="K13" s="3229" t="s">
        <v>205</v>
      </c>
      <c r="L13" s="3228" t="s">
        <v>206</v>
      </c>
      <c r="M13" s="3228" t="s">
        <v>207</v>
      </c>
      <c r="N13" s="3228" t="s">
        <v>208</v>
      </c>
      <c r="O13" s="3228" t="s">
        <v>2904</v>
      </c>
      <c r="P13" s="3228" t="s">
        <v>202</v>
      </c>
      <c r="Q13" s="3228" t="s">
        <v>215</v>
      </c>
      <c r="R13" s="3228" t="s">
        <v>216</v>
      </c>
      <c r="S13" s="3228" t="s">
        <v>210</v>
      </c>
    </row>
    <row r="14" spans="1:20">
      <c r="A14" s="3228" t="s">
        <v>180</v>
      </c>
      <c r="B14" s="3229" t="s">
        <v>151</v>
      </c>
      <c r="C14" s="3228">
        <v>30520</v>
      </c>
      <c r="D14" s="3228">
        <v>29510</v>
      </c>
      <c r="E14" s="3228">
        <v>29400</v>
      </c>
      <c r="F14" s="3228">
        <v>9630</v>
      </c>
      <c r="G14" s="3228">
        <v>21480</v>
      </c>
      <c r="H14" s="3227"/>
      <c r="J14" s="3229" t="s">
        <v>2905</v>
      </c>
      <c r="K14" s="3229" t="s">
        <v>211</v>
      </c>
      <c r="L14" s="3228" t="s">
        <v>212</v>
      </c>
      <c r="M14" s="3228" t="s">
        <v>213</v>
      </c>
      <c r="N14" s="3228" t="s">
        <v>214</v>
      </c>
      <c r="O14" s="3228" t="s">
        <v>236</v>
      </c>
      <c r="P14" s="3228" t="s">
        <v>209</v>
      </c>
      <c r="Q14" s="3228" t="s">
        <v>2906</v>
      </c>
      <c r="R14" s="3228" t="s">
        <v>224</v>
      </c>
      <c r="S14" s="3228" t="s">
        <v>217</v>
      </c>
    </row>
    <row r="15" spans="1:20">
      <c r="A15" s="3228" t="s">
        <v>180</v>
      </c>
      <c r="B15" s="3229" t="s">
        <v>158</v>
      </c>
      <c r="C15" s="3228">
        <v>29090</v>
      </c>
      <c r="D15" s="3228">
        <v>27590</v>
      </c>
      <c r="E15" s="3228">
        <v>28120</v>
      </c>
      <c r="F15" s="3228">
        <v>9110</v>
      </c>
      <c r="G15" s="3228">
        <v>20070</v>
      </c>
      <c r="H15" s="3227"/>
      <c r="J15" s="3229" t="s">
        <v>218</v>
      </c>
      <c r="K15" s="3229" t="s">
        <v>219</v>
      </c>
      <c r="L15" s="3228" t="s">
        <v>220</v>
      </c>
      <c r="M15" s="3228" t="s">
        <v>221</v>
      </c>
      <c r="N15" s="3228" t="s">
        <v>222</v>
      </c>
      <c r="O15" s="3228" t="s">
        <v>2907</v>
      </c>
      <c r="P15" s="3228" t="s">
        <v>2908</v>
      </c>
      <c r="Q15" s="3228" t="s">
        <v>238</v>
      </c>
      <c r="R15" s="3228" t="s">
        <v>2909</v>
      </c>
      <c r="S15" s="3228" t="s">
        <v>225</v>
      </c>
    </row>
    <row r="16" spans="1:20">
      <c r="A16" s="3228" t="s">
        <v>180</v>
      </c>
      <c r="B16" s="3229" t="s">
        <v>164</v>
      </c>
      <c r="C16" s="3228">
        <v>26790</v>
      </c>
      <c r="D16" s="3228">
        <v>30370</v>
      </c>
      <c r="E16" s="3228">
        <v>30240</v>
      </c>
      <c r="F16" s="3228">
        <v>11590</v>
      </c>
      <c r="G16" s="3228">
        <v>22090</v>
      </c>
      <c r="H16" s="3227"/>
      <c r="J16" s="3229" t="s">
        <v>226</v>
      </c>
      <c r="K16" s="3229" t="s">
        <v>227</v>
      </c>
      <c r="L16" s="3228" t="s">
        <v>228</v>
      </c>
      <c r="M16" s="3228" t="s">
        <v>229</v>
      </c>
      <c r="N16" s="3228" t="s">
        <v>230</v>
      </c>
      <c r="O16" s="3228" t="s">
        <v>2910</v>
      </c>
      <c r="P16" s="3228" t="s">
        <v>223</v>
      </c>
      <c r="Q16" s="3228" t="s">
        <v>246</v>
      </c>
      <c r="R16" s="3228" t="s">
        <v>203</v>
      </c>
      <c r="S16" s="3228" t="s">
        <v>2911</v>
      </c>
    </row>
    <row r="17" spans="1:19" ht="14.25" customHeight="1">
      <c r="A17" s="3228" t="s">
        <v>180</v>
      </c>
      <c r="B17" s="3229" t="s">
        <v>171</v>
      </c>
      <c r="C17" s="3228">
        <v>29180</v>
      </c>
      <c r="D17" s="3228">
        <v>27620</v>
      </c>
      <c r="E17" s="3228">
        <v>28180</v>
      </c>
      <c r="F17" s="3228">
        <v>10790</v>
      </c>
      <c r="G17" s="3228">
        <v>20090</v>
      </c>
      <c r="H17" s="3227"/>
      <c r="J17" s="3229" t="s">
        <v>231</v>
      </c>
      <c r="K17" s="3229" t="s">
        <v>232</v>
      </c>
      <c r="L17" s="3228" t="s">
        <v>233</v>
      </c>
      <c r="M17" s="3228" t="s">
        <v>234</v>
      </c>
      <c r="N17" s="3228" t="s">
        <v>235</v>
      </c>
      <c r="O17" s="3228" t="s">
        <v>2912</v>
      </c>
      <c r="P17" s="3228" t="s">
        <v>2913</v>
      </c>
      <c r="Q17" s="3228" t="s">
        <v>252</v>
      </c>
      <c r="R17" s="3228" t="s">
        <v>2914</v>
      </c>
      <c r="S17" s="3228" t="s">
        <v>254</v>
      </c>
    </row>
    <row r="18" spans="1:19" ht="14.25" customHeight="1">
      <c r="A18" s="3228" t="s">
        <v>180</v>
      </c>
      <c r="B18" s="3229" t="s">
        <v>181</v>
      </c>
      <c r="C18" s="3228">
        <v>26840</v>
      </c>
      <c r="D18" s="3228">
        <v>28930</v>
      </c>
      <c r="E18" s="3228">
        <v>28820</v>
      </c>
      <c r="F18" s="3228"/>
      <c r="G18" s="3228">
        <v>21050</v>
      </c>
      <c r="H18" s="3227"/>
      <c r="J18" s="3229" t="s">
        <v>240</v>
      </c>
      <c r="K18" s="3229" t="s">
        <v>241</v>
      </c>
      <c r="L18" s="3228" t="s">
        <v>242</v>
      </c>
      <c r="M18" s="3228" t="s">
        <v>243</v>
      </c>
      <c r="N18" s="3228" t="s">
        <v>244</v>
      </c>
      <c r="O18" s="3228" t="s">
        <v>2915</v>
      </c>
      <c r="P18" s="3228" t="s">
        <v>237</v>
      </c>
      <c r="Q18" s="3228" t="s">
        <v>2916</v>
      </c>
      <c r="R18" s="3228" t="s">
        <v>253</v>
      </c>
      <c r="S18" s="3228" t="s">
        <v>262</v>
      </c>
    </row>
    <row r="19" spans="1:19" ht="14.25" customHeight="1">
      <c r="A19" s="3228" t="s">
        <v>180</v>
      </c>
      <c r="B19" s="3229" t="s">
        <v>190</v>
      </c>
      <c r="C19" s="3228">
        <v>27750</v>
      </c>
      <c r="D19" s="3228">
        <v>26680</v>
      </c>
      <c r="E19" s="3228">
        <v>26590</v>
      </c>
      <c r="F19" s="3228"/>
      <c r="G19" s="3228">
        <v>19420</v>
      </c>
      <c r="H19" s="3227"/>
      <c r="J19" s="3229" t="s">
        <v>247</v>
      </c>
      <c r="K19" s="3229" t="s">
        <v>248</v>
      </c>
      <c r="L19" s="3228" t="s">
        <v>249</v>
      </c>
      <c r="M19" s="3228" t="s">
        <v>250</v>
      </c>
      <c r="N19" s="3228" t="s">
        <v>251</v>
      </c>
      <c r="O19" s="3228" t="s">
        <v>2917</v>
      </c>
      <c r="P19" s="3228" t="s">
        <v>245</v>
      </c>
      <c r="Q19" s="3228" t="s">
        <v>2918</v>
      </c>
      <c r="R19" s="3228" t="s">
        <v>261</v>
      </c>
      <c r="S19" s="3228" t="s">
        <v>2919</v>
      </c>
    </row>
    <row r="20" spans="1:19" ht="14.25" customHeight="1">
      <c r="A20" s="3228" t="s">
        <v>180</v>
      </c>
      <c r="B20" s="3229" t="s">
        <v>197</v>
      </c>
      <c r="C20" s="3228">
        <v>27050</v>
      </c>
      <c r="D20" s="3228">
        <v>29010</v>
      </c>
      <c r="E20" s="3228">
        <v>28910</v>
      </c>
      <c r="F20" s="3228"/>
      <c r="G20" s="3228">
        <v>21110</v>
      </c>
      <c r="J20" s="3229" t="s">
        <v>255</v>
      </c>
      <c r="K20" s="3229" t="s">
        <v>256</v>
      </c>
      <c r="L20" s="3228" t="s">
        <v>257</v>
      </c>
      <c r="M20" s="3228" t="s">
        <v>258</v>
      </c>
      <c r="N20" s="3228" t="s">
        <v>259</v>
      </c>
      <c r="O20" s="3228" t="s">
        <v>2920</v>
      </c>
      <c r="P20" s="3228" t="s">
        <v>2921</v>
      </c>
      <c r="Q20" s="3228" t="s">
        <v>286</v>
      </c>
      <c r="R20" s="3228" t="s">
        <v>2922</v>
      </c>
      <c r="S20" s="3228" t="s">
        <v>273</v>
      </c>
    </row>
    <row r="21" spans="1:19" ht="14.25" customHeight="1" thickBot="1">
      <c r="A21" s="3228" t="s">
        <v>180</v>
      </c>
      <c r="B21" s="3229" t="s">
        <v>204</v>
      </c>
      <c r="C21" s="3228">
        <v>32370</v>
      </c>
      <c r="D21" s="3228">
        <v>26730</v>
      </c>
      <c r="E21" s="3228">
        <v>26640</v>
      </c>
      <c r="F21" s="3228"/>
      <c r="G21" s="3228">
        <v>19440</v>
      </c>
      <c r="J21" s="3235" t="s">
        <v>2923</v>
      </c>
      <c r="K21" s="3229" t="s">
        <v>263</v>
      </c>
      <c r="L21" s="3228" t="s">
        <v>264</v>
      </c>
      <c r="M21" s="3228" t="s">
        <v>265</v>
      </c>
      <c r="N21" s="3228" t="s">
        <v>266</v>
      </c>
      <c r="O21" s="3228" t="s">
        <v>260</v>
      </c>
      <c r="P21" s="3228" t="s">
        <v>279</v>
      </c>
      <c r="Q21" s="3228" t="s">
        <v>289</v>
      </c>
      <c r="R21" s="3228" t="s">
        <v>2924</v>
      </c>
      <c r="S21" s="3235" t="s">
        <v>2925</v>
      </c>
    </row>
    <row r="22" spans="1:19" ht="14.25" customHeight="1">
      <c r="A22" s="3228" t="s">
        <v>180</v>
      </c>
      <c r="B22" s="3229" t="s">
        <v>2905</v>
      </c>
      <c r="C22" s="3228">
        <v>29830</v>
      </c>
      <c r="D22" s="3228">
        <v>27600</v>
      </c>
      <c r="E22" s="3228">
        <v>28150</v>
      </c>
      <c r="F22" s="3228"/>
      <c r="G22" s="3228">
        <v>20080</v>
      </c>
      <c r="K22" s="3229" t="s">
        <v>2926</v>
      </c>
      <c r="L22" s="3228" t="s">
        <v>268</v>
      </c>
      <c r="M22" s="3228" t="s">
        <v>269</v>
      </c>
      <c r="N22" s="3228" t="s">
        <v>270</v>
      </c>
      <c r="O22" s="3228" t="s">
        <v>2927</v>
      </c>
      <c r="P22" s="3228" t="s">
        <v>282</v>
      </c>
      <c r="Q22" s="3228" t="s">
        <v>291</v>
      </c>
      <c r="R22" s="3228" t="s">
        <v>239</v>
      </c>
    </row>
    <row r="23" spans="1:19" ht="14.25" customHeight="1">
      <c r="A23" s="3228" t="s">
        <v>180</v>
      </c>
      <c r="B23" s="3229" t="s">
        <v>218</v>
      </c>
      <c r="C23" s="3228">
        <v>27800</v>
      </c>
      <c r="D23" s="3228">
        <v>26900</v>
      </c>
      <c r="E23" s="3228">
        <v>27170</v>
      </c>
      <c r="F23" s="3228"/>
      <c r="G23" s="3228">
        <v>19570</v>
      </c>
      <c r="K23" s="3229" t="s">
        <v>2928</v>
      </c>
      <c r="L23" s="3228" t="s">
        <v>274</v>
      </c>
      <c r="M23" s="3228" t="s">
        <v>275</v>
      </c>
      <c r="N23" s="3228" t="s">
        <v>2929</v>
      </c>
      <c r="O23" s="3228" t="s">
        <v>2930</v>
      </c>
      <c r="P23" s="3228" t="s">
        <v>285</v>
      </c>
      <c r="Q23" s="3228" t="s">
        <v>294</v>
      </c>
      <c r="R23" s="3228" t="s">
        <v>2931</v>
      </c>
    </row>
    <row r="24" spans="1:19" ht="14.25" customHeight="1">
      <c r="A24" s="3228" t="s">
        <v>180</v>
      </c>
      <c r="B24" s="3229" t="s">
        <v>226</v>
      </c>
      <c r="C24" s="3228">
        <v>27930</v>
      </c>
      <c r="D24" s="3228">
        <v>32260</v>
      </c>
      <c r="E24" s="3228">
        <v>32120</v>
      </c>
      <c r="F24" s="3228"/>
      <c r="G24" s="3228">
        <v>23470</v>
      </c>
      <c r="K24" s="3229" t="s">
        <v>2932</v>
      </c>
      <c r="L24" s="3228" t="s">
        <v>277</v>
      </c>
      <c r="M24" s="3228" t="s">
        <v>278</v>
      </c>
      <c r="N24" s="3228" t="s">
        <v>2933</v>
      </c>
      <c r="O24" s="3228" t="s">
        <v>281</v>
      </c>
      <c r="P24" s="3228" t="s">
        <v>2934</v>
      </c>
      <c r="Q24" s="3237" t="s">
        <v>2935</v>
      </c>
      <c r="R24" s="3228" t="s">
        <v>2936</v>
      </c>
    </row>
    <row r="25" spans="1:19" ht="14.25" customHeight="1">
      <c r="A25" s="3228" t="s">
        <v>180</v>
      </c>
      <c r="B25" s="3229" t="s">
        <v>231</v>
      </c>
      <c r="C25" s="3228">
        <v>32230</v>
      </c>
      <c r="D25" s="3228">
        <v>29640</v>
      </c>
      <c r="E25" s="3228">
        <v>29510</v>
      </c>
      <c r="F25" s="3228"/>
      <c r="G25" s="3228">
        <v>21560</v>
      </c>
      <c r="K25" s="3229" t="s">
        <v>2937</v>
      </c>
      <c r="L25" s="3228" t="s">
        <v>2938</v>
      </c>
      <c r="M25" s="3228" t="s">
        <v>280</v>
      </c>
      <c r="N25" s="3228" t="s">
        <v>288</v>
      </c>
      <c r="O25" s="3228" t="s">
        <v>284</v>
      </c>
      <c r="P25" s="3228" t="s">
        <v>271</v>
      </c>
      <c r="Q25" s="3237" t="s">
        <v>267</v>
      </c>
      <c r="R25" s="3228" t="s">
        <v>2939</v>
      </c>
    </row>
    <row r="26" spans="1:19" ht="14.25" customHeight="1" thickBot="1">
      <c r="A26" s="3228" t="s">
        <v>180</v>
      </c>
      <c r="B26" s="3229" t="s">
        <v>240</v>
      </c>
      <c r="C26" s="3228">
        <v>31690</v>
      </c>
      <c r="D26" s="3228">
        <v>27650</v>
      </c>
      <c r="E26" s="3228">
        <v>28200</v>
      </c>
      <c r="F26" s="3228"/>
      <c r="G26" s="3228">
        <v>20110</v>
      </c>
      <c r="K26" s="3234" t="s">
        <v>2940</v>
      </c>
      <c r="L26" s="3228" t="s">
        <v>2941</v>
      </c>
      <c r="M26" s="3228" t="s">
        <v>283</v>
      </c>
      <c r="N26" s="3228" t="s">
        <v>290</v>
      </c>
      <c r="O26" s="3228" t="s">
        <v>2942</v>
      </c>
      <c r="P26" s="3228" t="s">
        <v>2943</v>
      </c>
      <c r="Q26" s="3237" t="s">
        <v>272</v>
      </c>
      <c r="R26" s="3228" t="s">
        <v>2944</v>
      </c>
    </row>
    <row r="27" spans="1:19" ht="14.25" customHeight="1">
      <c r="A27" s="3228" t="s">
        <v>180</v>
      </c>
      <c r="B27" s="3229" t="s">
        <v>247</v>
      </c>
      <c r="C27" s="3228">
        <v>29610</v>
      </c>
      <c r="D27" s="3228">
        <v>27770</v>
      </c>
      <c r="E27" s="3228">
        <v>28300</v>
      </c>
      <c r="F27" s="3228"/>
      <c r="G27" s="3228">
        <v>20210</v>
      </c>
      <c r="L27" s="3228" t="s">
        <v>2945</v>
      </c>
      <c r="M27" s="3228" t="s">
        <v>287</v>
      </c>
      <c r="N27" s="3228" t="s">
        <v>293</v>
      </c>
      <c r="O27" s="3228" t="s">
        <v>2946</v>
      </c>
      <c r="P27" s="3228" t="s">
        <v>2947</v>
      </c>
      <c r="Q27" s="3228" t="s">
        <v>2948</v>
      </c>
      <c r="R27" s="3228" t="s">
        <v>2949</v>
      </c>
    </row>
    <row r="28" spans="1:19" ht="14.25" customHeight="1">
      <c r="A28" s="3228" t="s">
        <v>180</v>
      </c>
      <c r="B28" s="3229" t="s">
        <v>255</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180</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276</v>
      </c>
    </row>
    <row r="30" spans="1:19" ht="14.25" customHeight="1">
      <c r="A30" s="3233" t="s">
        <v>292</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292</v>
      </c>
      <c r="B31" s="3229" t="s">
        <v>125</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292</v>
      </c>
      <c r="B32" s="3229" t="s">
        <v>134</v>
      </c>
      <c r="C32" s="3228">
        <v>27210</v>
      </c>
      <c r="D32" s="3228">
        <v>23240</v>
      </c>
      <c r="E32" s="3228">
        <v>23260</v>
      </c>
      <c r="F32" s="3228">
        <v>7130</v>
      </c>
      <c r="G32" s="3241">
        <v>16270</v>
      </c>
      <c r="L32" s="3228" t="s">
        <v>2977</v>
      </c>
      <c r="M32" s="3228" t="s">
        <v>2978</v>
      </c>
      <c r="N32" s="3228" t="s">
        <v>296</v>
      </c>
      <c r="O32" s="3228" t="s">
        <v>2979</v>
      </c>
      <c r="P32" s="3228" t="s">
        <v>295</v>
      </c>
      <c r="Q32" s="3228" t="s">
        <v>2980</v>
      </c>
      <c r="R32" s="3235" t="s">
        <v>2981</v>
      </c>
    </row>
    <row r="33" spans="1:17" ht="14.25" customHeight="1" thickBot="1">
      <c r="A33" s="3228" t="s">
        <v>292</v>
      </c>
      <c r="B33" s="3229" t="s">
        <v>143</v>
      </c>
      <c r="C33" s="3228">
        <v>27300</v>
      </c>
      <c r="D33" s="3228">
        <v>22980</v>
      </c>
      <c r="E33" s="3228">
        <v>24260</v>
      </c>
      <c r="F33" s="3228">
        <v>5860</v>
      </c>
      <c r="G33" s="3241">
        <v>16090</v>
      </c>
      <c r="L33" s="3235" t="s">
        <v>2982</v>
      </c>
      <c r="M33" s="3228" t="s">
        <v>2983</v>
      </c>
      <c r="N33" s="3228" t="s">
        <v>297</v>
      </c>
      <c r="O33" s="3228" t="s">
        <v>2984</v>
      </c>
      <c r="P33" s="3228" t="s">
        <v>2985</v>
      </c>
      <c r="Q33" s="3228" t="s">
        <v>2986</v>
      </c>
    </row>
    <row r="34" spans="1:17" ht="14.25" customHeight="1">
      <c r="A34" s="3228" t="s">
        <v>292</v>
      </c>
      <c r="B34" s="3229" t="s">
        <v>152</v>
      </c>
      <c r="C34" s="3228">
        <v>23090</v>
      </c>
      <c r="D34" s="3228">
        <v>23390</v>
      </c>
      <c r="E34" s="3228">
        <v>23510</v>
      </c>
      <c r="F34" s="3228">
        <v>6700</v>
      </c>
      <c r="G34" s="3241">
        <v>16370</v>
      </c>
      <c r="M34" s="3228" t="s">
        <v>2987</v>
      </c>
      <c r="N34" s="3228" t="s">
        <v>298</v>
      </c>
      <c r="O34" s="3228" t="s">
        <v>2988</v>
      </c>
      <c r="P34" s="3228" t="s">
        <v>2989</v>
      </c>
      <c r="Q34" s="3228" t="s">
        <v>2990</v>
      </c>
    </row>
    <row r="35" spans="1:17" ht="14.25" customHeight="1">
      <c r="A35" s="3228" t="s">
        <v>292</v>
      </c>
      <c r="B35" s="3229" t="s">
        <v>159</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292</v>
      </c>
      <c r="B36" s="3229" t="s">
        <v>165</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292</v>
      </c>
      <c r="B37" s="3229" t="s">
        <v>172</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292</v>
      </c>
      <c r="B38" s="3229" t="s">
        <v>182</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292</v>
      </c>
      <c r="B39" s="3229" t="s">
        <v>191</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292</v>
      </c>
      <c r="B40" s="3229" t="s">
        <v>198</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292</v>
      </c>
      <c r="B41" s="3229" t="s">
        <v>205</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292</v>
      </c>
      <c r="B42" s="3229" t="s">
        <v>211</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219</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292</v>
      </c>
      <c r="B44" s="3229" t="s">
        <v>227</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292</v>
      </c>
      <c r="B45" s="3229" t="s">
        <v>232</v>
      </c>
      <c r="C45" s="3228">
        <v>21240</v>
      </c>
      <c r="D45" s="3228">
        <v>27050</v>
      </c>
      <c r="E45" s="3228">
        <v>28000</v>
      </c>
      <c r="F45" s="3228"/>
      <c r="G45" s="3241">
        <v>18940</v>
      </c>
      <c r="N45" s="3228" t="s">
        <v>3039</v>
      </c>
      <c r="O45" s="3235" t="s">
        <v>3040</v>
      </c>
      <c r="Q45" s="3228" t="s">
        <v>3041</v>
      </c>
    </row>
    <row r="46" spans="1:17" ht="14.25" customHeight="1">
      <c r="A46" s="3228" t="s">
        <v>292</v>
      </c>
      <c r="B46" s="3229" t="s">
        <v>241</v>
      </c>
      <c r="C46" s="3228">
        <v>23240</v>
      </c>
      <c r="D46" s="3228">
        <v>23000</v>
      </c>
      <c r="E46" s="3228">
        <v>24980</v>
      </c>
      <c r="F46" s="3228"/>
      <c r="G46" s="3241">
        <v>16100</v>
      </c>
      <c r="N46" s="3228" t="s">
        <v>3042</v>
      </c>
      <c r="Q46" s="3228" t="s">
        <v>3043</v>
      </c>
    </row>
    <row r="47" spans="1:17" ht="14.25" customHeight="1">
      <c r="A47" s="3228" t="s">
        <v>292</v>
      </c>
      <c r="B47" s="3229" t="s">
        <v>248</v>
      </c>
      <c r="C47" s="3228">
        <v>27150</v>
      </c>
      <c r="D47" s="3228">
        <v>23310</v>
      </c>
      <c r="E47" s="3228">
        <v>25150</v>
      </c>
      <c r="F47" s="3228"/>
      <c r="G47" s="3241">
        <v>16310</v>
      </c>
      <c r="N47" s="3228" t="s">
        <v>3044</v>
      </c>
      <c r="Q47" s="3228" t="s">
        <v>3045</v>
      </c>
    </row>
    <row r="48" spans="1:17" ht="14.25" customHeight="1">
      <c r="A48" s="3228" t="s">
        <v>292</v>
      </c>
      <c r="B48" s="3229" t="s">
        <v>256</v>
      </c>
      <c r="C48" s="3228">
        <v>23100</v>
      </c>
      <c r="D48" s="3228">
        <v>21110</v>
      </c>
      <c r="E48" s="3228">
        <v>23080</v>
      </c>
      <c r="F48" s="3228"/>
      <c r="G48" s="3241">
        <v>14780</v>
      </c>
      <c r="N48" s="3228" t="s">
        <v>3046</v>
      </c>
      <c r="Q48" s="3228" t="s">
        <v>3047</v>
      </c>
    </row>
    <row r="49" spans="1:17" ht="14.25" customHeight="1">
      <c r="A49" s="3228" t="s">
        <v>292</v>
      </c>
      <c r="B49" s="3229" t="s">
        <v>263</v>
      </c>
      <c r="C49" s="3228">
        <v>23400</v>
      </c>
      <c r="D49" s="3228">
        <v>22920</v>
      </c>
      <c r="E49" s="3228">
        <v>24900</v>
      </c>
      <c r="F49" s="3228"/>
      <c r="G49" s="3241">
        <v>16040</v>
      </c>
      <c r="N49" s="3228" t="s">
        <v>3048</v>
      </c>
      <c r="Q49" s="3228" t="s">
        <v>3049</v>
      </c>
    </row>
    <row r="50" spans="1:17" ht="14.25" customHeight="1">
      <c r="A50" s="3228" t="s">
        <v>292</v>
      </c>
      <c r="B50" s="3229" t="s">
        <v>2926</v>
      </c>
      <c r="C50" s="3228">
        <v>21200</v>
      </c>
      <c r="D50" s="3228">
        <v>26540</v>
      </c>
      <c r="E50" s="3228">
        <v>23200</v>
      </c>
      <c r="F50" s="3228"/>
      <c r="G50" s="3241">
        <v>18580</v>
      </c>
      <c r="N50" s="3228" t="s">
        <v>3050</v>
      </c>
      <c r="Q50" s="3229" t="s">
        <v>3051</v>
      </c>
    </row>
    <row r="51" spans="1:17" ht="14.25" customHeight="1" thickBot="1">
      <c r="A51" s="3228" t="s">
        <v>292</v>
      </c>
      <c r="B51" s="3229" t="s">
        <v>2928</v>
      </c>
      <c r="C51" s="3228">
        <v>23000</v>
      </c>
      <c r="D51" s="3228">
        <v>23460</v>
      </c>
      <c r="E51" s="3228">
        <v>25290</v>
      </c>
      <c r="F51" s="3228"/>
      <c r="G51" s="3241">
        <v>16420</v>
      </c>
      <c r="N51" s="3228" t="s">
        <v>3052</v>
      </c>
      <c r="Q51" s="3235" t="s">
        <v>3053</v>
      </c>
    </row>
    <row r="52" spans="1:17" ht="14.25" customHeight="1">
      <c r="A52" s="3228" t="s">
        <v>292</v>
      </c>
      <c r="B52" s="3229" t="s">
        <v>2932</v>
      </c>
      <c r="C52" s="3228">
        <v>26660</v>
      </c>
      <c r="D52" s="3228">
        <v>22350</v>
      </c>
      <c r="E52" s="3228">
        <v>22920</v>
      </c>
      <c r="F52" s="3228"/>
      <c r="G52" s="3241">
        <v>15640</v>
      </c>
      <c r="N52" s="3228" t="s">
        <v>3054</v>
      </c>
    </row>
    <row r="53" spans="1:17" ht="14.25" customHeight="1">
      <c r="A53" s="3228" t="s">
        <v>292</v>
      </c>
      <c r="B53" s="3229" t="s">
        <v>2937</v>
      </c>
      <c r="C53" s="3228">
        <v>23580</v>
      </c>
      <c r="D53" s="3228"/>
      <c r="E53" s="3228">
        <v>24280</v>
      </c>
      <c r="F53" s="3228"/>
      <c r="G53" s="3241"/>
      <c r="N53" s="3228" t="s">
        <v>3055</v>
      </c>
    </row>
    <row r="54" spans="1:17" ht="14.25" customHeight="1" thickBot="1">
      <c r="A54" s="3242" t="s">
        <v>292</v>
      </c>
      <c r="B54" s="3234" t="s">
        <v>2940</v>
      </c>
      <c r="C54" s="3235">
        <v>22460</v>
      </c>
      <c r="D54" s="3235"/>
      <c r="E54" s="3235"/>
      <c r="F54" s="3235"/>
      <c r="G54" s="3243"/>
      <c r="N54" s="3228" t="s">
        <v>3056</v>
      </c>
    </row>
    <row r="55" spans="1:17" ht="14.25" customHeight="1">
      <c r="A55" s="3233" t="s">
        <v>106</v>
      </c>
      <c r="B55" s="3224" t="s">
        <v>3057</v>
      </c>
      <c r="C55" s="3228">
        <v>21970</v>
      </c>
      <c r="D55" s="3228">
        <v>20370</v>
      </c>
      <c r="E55" s="3228">
        <v>20180</v>
      </c>
      <c r="F55" s="3228">
        <v>5730</v>
      </c>
      <c r="G55" s="3228">
        <v>13820</v>
      </c>
      <c r="N55" s="3228" t="s">
        <v>3058</v>
      </c>
    </row>
    <row r="56" spans="1:17" ht="14.25" customHeight="1">
      <c r="A56" s="3228" t="s">
        <v>106</v>
      </c>
      <c r="B56" s="3228" t="s">
        <v>126</v>
      </c>
      <c r="C56" s="3228">
        <v>20470</v>
      </c>
      <c r="D56" s="3228">
        <v>20700</v>
      </c>
      <c r="E56" s="3228">
        <v>20380</v>
      </c>
      <c r="F56" s="3228">
        <v>4760</v>
      </c>
      <c r="G56" s="3228">
        <v>14050</v>
      </c>
      <c r="N56" s="3228" t="s">
        <v>3059</v>
      </c>
    </row>
    <row r="57" spans="1:17" ht="14.25" customHeight="1">
      <c r="A57" s="3228" t="s">
        <v>106</v>
      </c>
      <c r="B57" s="3228" t="s">
        <v>135</v>
      </c>
      <c r="C57" s="3228">
        <v>20790</v>
      </c>
      <c r="D57" s="3228">
        <v>21370</v>
      </c>
      <c r="E57" s="3228">
        <v>20890</v>
      </c>
      <c r="F57" s="3228">
        <v>4910</v>
      </c>
      <c r="G57" s="3228">
        <v>14510</v>
      </c>
      <c r="N57" s="3228" t="s">
        <v>3060</v>
      </c>
    </row>
    <row r="58" spans="1:17" ht="14.25" customHeight="1">
      <c r="A58" s="3228" t="s">
        <v>106</v>
      </c>
      <c r="B58" s="3228" t="s">
        <v>144</v>
      </c>
      <c r="C58" s="3228">
        <v>21460</v>
      </c>
      <c r="D58" s="3228">
        <v>20920</v>
      </c>
      <c r="E58" s="3228">
        <v>23410</v>
      </c>
      <c r="F58" s="3228">
        <v>5100</v>
      </c>
      <c r="G58" s="3228">
        <v>14200</v>
      </c>
      <c r="N58" s="3228" t="s">
        <v>3061</v>
      </c>
    </row>
    <row r="59" spans="1:17" ht="14.25" customHeight="1">
      <c r="A59" s="3228" t="s">
        <v>106</v>
      </c>
      <c r="B59" s="3228" t="s">
        <v>153</v>
      </c>
      <c r="C59" s="3228">
        <v>21000</v>
      </c>
      <c r="D59" s="3228">
        <v>21550</v>
      </c>
      <c r="E59" s="3228">
        <v>21150</v>
      </c>
      <c r="F59" s="3228">
        <v>5250</v>
      </c>
      <c r="G59" s="3228">
        <v>14630</v>
      </c>
      <c r="N59" s="3228" t="s">
        <v>3062</v>
      </c>
    </row>
    <row r="60" spans="1:17" ht="14.25" customHeight="1">
      <c r="A60" s="3228" t="s">
        <v>106</v>
      </c>
      <c r="B60" s="3228" t="s">
        <v>160</v>
      </c>
      <c r="C60" s="3228">
        <v>21640</v>
      </c>
      <c r="D60" s="3228">
        <v>21260</v>
      </c>
      <c r="E60" s="3228">
        <v>24040</v>
      </c>
      <c r="F60" s="3228">
        <v>4470</v>
      </c>
      <c r="G60" s="3228">
        <v>14430</v>
      </c>
      <c r="N60" s="3228" t="s">
        <v>3063</v>
      </c>
    </row>
    <row r="61" spans="1:17" ht="14.25" customHeight="1">
      <c r="A61" s="3228" t="s">
        <v>106</v>
      </c>
      <c r="B61" s="3228" t="s">
        <v>166</v>
      </c>
      <c r="C61" s="3228">
        <v>21330</v>
      </c>
      <c r="D61" s="3228">
        <v>18640</v>
      </c>
      <c r="E61" s="3228">
        <v>21190</v>
      </c>
      <c r="F61" s="3228">
        <v>4180</v>
      </c>
      <c r="G61" s="3228">
        <v>12650</v>
      </c>
      <c r="N61" s="3228" t="s">
        <v>3064</v>
      </c>
    </row>
    <row r="62" spans="1:17" ht="14.25" customHeight="1">
      <c r="A62" s="3228" t="s">
        <v>106</v>
      </c>
      <c r="B62" s="3228" t="s">
        <v>173</v>
      </c>
      <c r="C62" s="3228">
        <v>18710</v>
      </c>
      <c r="D62" s="3228">
        <v>19400</v>
      </c>
      <c r="E62" s="3228">
        <v>23750</v>
      </c>
      <c r="F62" s="3228">
        <v>4860</v>
      </c>
      <c r="G62" s="3228">
        <v>13170</v>
      </c>
      <c r="N62" s="3228" t="s">
        <v>3065</v>
      </c>
    </row>
    <row r="63" spans="1:17" ht="14.25" customHeight="1">
      <c r="A63" s="3228" t="s">
        <v>106</v>
      </c>
      <c r="B63" s="3228" t="s">
        <v>183</v>
      </c>
      <c r="C63" s="3228">
        <v>19480</v>
      </c>
      <c r="D63" s="3228">
        <v>16830</v>
      </c>
      <c r="E63" s="3228">
        <v>21590</v>
      </c>
      <c r="F63" s="3228">
        <v>4560</v>
      </c>
      <c r="G63" s="3228">
        <v>11420</v>
      </c>
      <c r="N63" s="3228" t="s">
        <v>3066</v>
      </c>
    </row>
    <row r="64" spans="1:17" ht="14.25" customHeight="1" thickBot="1">
      <c r="A64" s="3228" t="s">
        <v>106</v>
      </c>
      <c r="B64" s="3228" t="s">
        <v>192</v>
      </c>
      <c r="C64" s="3228">
        <v>16920</v>
      </c>
      <c r="D64" s="3228">
        <v>19190</v>
      </c>
      <c r="E64" s="3228">
        <v>22200</v>
      </c>
      <c r="F64" s="3228">
        <v>4390</v>
      </c>
      <c r="G64" s="3228">
        <v>13030</v>
      </c>
      <c r="N64" s="3235" t="s">
        <v>3067</v>
      </c>
    </row>
    <row r="65" spans="1:7" s="3217" customFormat="1" ht="14.25" customHeight="1">
      <c r="A65" s="3228" t="s">
        <v>106</v>
      </c>
      <c r="B65" s="3228" t="s">
        <v>199</v>
      </c>
      <c r="C65" s="3228">
        <v>19290</v>
      </c>
      <c r="D65" s="3228">
        <v>17020</v>
      </c>
      <c r="E65" s="3228">
        <v>19880</v>
      </c>
      <c r="F65" s="3228">
        <v>4070</v>
      </c>
      <c r="G65" s="3228">
        <v>11550</v>
      </c>
    </row>
    <row r="66" spans="1:7" s="3217" customFormat="1" ht="14.25" customHeight="1">
      <c r="A66" s="3228" t="s">
        <v>106</v>
      </c>
      <c r="B66" s="3228" t="s">
        <v>206</v>
      </c>
      <c r="C66" s="3228">
        <v>17090</v>
      </c>
      <c r="D66" s="3228">
        <v>18340</v>
      </c>
      <c r="E66" s="3228">
        <v>21830</v>
      </c>
      <c r="F66" s="3228">
        <v>4690</v>
      </c>
      <c r="G66" s="3228">
        <v>12450</v>
      </c>
    </row>
    <row r="67" spans="1:7" s="3217" customFormat="1" ht="14.25" customHeight="1">
      <c r="A67" s="3228" t="s">
        <v>106</v>
      </c>
      <c r="B67" s="3228" t="s">
        <v>212</v>
      </c>
      <c r="C67" s="3228">
        <v>18420</v>
      </c>
      <c r="D67" s="3228">
        <v>16360</v>
      </c>
      <c r="E67" s="3228">
        <v>20020</v>
      </c>
      <c r="F67" s="3228">
        <v>5150</v>
      </c>
      <c r="G67" s="3228">
        <v>11110</v>
      </c>
    </row>
    <row r="68" spans="1:7" s="3217" customFormat="1" ht="14.25" customHeight="1">
      <c r="A68" s="3228" t="s">
        <v>106</v>
      </c>
      <c r="B68" s="3228" t="s">
        <v>220</v>
      </c>
      <c r="C68" s="3228">
        <v>16450</v>
      </c>
      <c r="D68" s="3228">
        <v>18430</v>
      </c>
      <c r="E68" s="3228">
        <v>21010</v>
      </c>
      <c r="F68" s="3228">
        <v>4720</v>
      </c>
      <c r="G68" s="3228">
        <v>12510</v>
      </c>
    </row>
    <row r="69" spans="1:7" s="3217" customFormat="1" ht="14.25" customHeight="1">
      <c r="A69" s="3228" t="s">
        <v>106</v>
      </c>
      <c r="B69" s="3228" t="s">
        <v>228</v>
      </c>
      <c r="C69" s="3228">
        <v>18510</v>
      </c>
      <c r="D69" s="3228">
        <v>16300</v>
      </c>
      <c r="E69" s="3228">
        <v>18830</v>
      </c>
      <c r="F69" s="3228">
        <v>5400</v>
      </c>
      <c r="G69" s="3228">
        <v>11070</v>
      </c>
    </row>
    <row r="70" spans="1:7" s="3217" customFormat="1" ht="14.25" customHeight="1">
      <c r="A70" s="3228" t="s">
        <v>106</v>
      </c>
      <c r="B70" s="3228" t="s">
        <v>233</v>
      </c>
      <c r="C70" s="3228">
        <v>16370</v>
      </c>
      <c r="D70" s="3228">
        <v>18620</v>
      </c>
      <c r="E70" s="3228">
        <v>21100</v>
      </c>
      <c r="F70" s="3228">
        <v>5700</v>
      </c>
      <c r="G70" s="3228">
        <v>12640</v>
      </c>
    </row>
    <row r="71" spans="1:7" s="3217" customFormat="1" ht="14.25" customHeight="1">
      <c r="A71" s="3228" t="s">
        <v>106</v>
      </c>
      <c r="B71" s="3228" t="s">
        <v>242</v>
      </c>
      <c r="C71" s="3228">
        <v>18700</v>
      </c>
      <c r="D71" s="3228">
        <v>16290</v>
      </c>
      <c r="E71" s="3228">
        <v>18760</v>
      </c>
      <c r="F71" s="3228">
        <v>4780</v>
      </c>
      <c r="G71" s="3228">
        <v>11050</v>
      </c>
    </row>
    <row r="72" spans="1:7" s="3217" customFormat="1" ht="14.25" customHeight="1">
      <c r="A72" s="3228" t="s">
        <v>106</v>
      </c>
      <c r="B72" s="3228" t="s">
        <v>249</v>
      </c>
      <c r="C72" s="3228">
        <v>16340</v>
      </c>
      <c r="D72" s="3228">
        <v>17520</v>
      </c>
      <c r="E72" s="3228">
        <v>21170</v>
      </c>
      <c r="F72" s="3228"/>
      <c r="G72" s="3228">
        <v>11900</v>
      </c>
    </row>
    <row r="73" spans="1:7" s="3217" customFormat="1" ht="14.25" customHeight="1">
      <c r="A73" s="3228" t="s">
        <v>106</v>
      </c>
      <c r="B73" s="3228" t="s">
        <v>257</v>
      </c>
      <c r="C73" s="3228">
        <v>17610</v>
      </c>
      <c r="D73" s="3228">
        <v>18520</v>
      </c>
      <c r="E73" s="3228">
        <v>18720</v>
      </c>
      <c r="F73" s="3228"/>
      <c r="G73" s="3228">
        <v>12570</v>
      </c>
    </row>
    <row r="74" spans="1:7" s="3217" customFormat="1" ht="14.25" customHeight="1">
      <c r="A74" s="3228" t="s">
        <v>106</v>
      </c>
      <c r="B74" s="3228" t="s">
        <v>264</v>
      </c>
      <c r="C74" s="3228">
        <v>18600</v>
      </c>
      <c r="D74" s="3228">
        <v>16480</v>
      </c>
      <c r="E74" s="3228">
        <v>20100</v>
      </c>
      <c r="F74" s="3228"/>
      <c r="G74" s="3228">
        <v>11190</v>
      </c>
    </row>
    <row r="75" spans="1:7" s="3217" customFormat="1" ht="14.25" customHeight="1">
      <c r="A75" s="3228" t="s">
        <v>106</v>
      </c>
      <c r="B75" s="3228" t="s">
        <v>268</v>
      </c>
      <c r="C75" s="3228">
        <v>16570</v>
      </c>
      <c r="D75" s="3228">
        <v>17530</v>
      </c>
      <c r="E75" s="3228">
        <v>21030</v>
      </c>
      <c r="F75" s="3228"/>
      <c r="G75" s="3228">
        <v>11900</v>
      </c>
    </row>
    <row r="76" spans="1:7" s="3217" customFormat="1" ht="14.25" customHeight="1">
      <c r="A76" s="3228" t="s">
        <v>106</v>
      </c>
      <c r="B76" s="3228" t="s">
        <v>274</v>
      </c>
      <c r="C76" s="3228">
        <v>17610</v>
      </c>
      <c r="D76" s="3228">
        <v>20800</v>
      </c>
      <c r="E76" s="3228">
        <v>18920</v>
      </c>
      <c r="F76" s="3228"/>
      <c r="G76" s="3228">
        <v>14120</v>
      </c>
    </row>
    <row r="77" spans="1:7" s="3217" customFormat="1" ht="14.25" customHeight="1">
      <c r="A77" s="3228" t="s">
        <v>106</v>
      </c>
      <c r="B77" s="3228" t="s">
        <v>277</v>
      </c>
      <c r="C77" s="3228">
        <v>20890</v>
      </c>
      <c r="D77" s="3228">
        <v>19740</v>
      </c>
      <c r="E77" s="3228">
        <v>20110</v>
      </c>
      <c r="F77" s="3228"/>
      <c r="G77" s="3228">
        <v>13400</v>
      </c>
    </row>
    <row r="78" spans="1:7" s="3217" customFormat="1" ht="14.25" customHeight="1">
      <c r="A78" s="3228" t="s">
        <v>106</v>
      </c>
      <c r="B78" s="3228" t="s">
        <v>2938</v>
      </c>
      <c r="C78" s="3228">
        <v>19820</v>
      </c>
      <c r="D78" s="3228">
        <v>19780</v>
      </c>
      <c r="E78" s="3228">
        <v>18560</v>
      </c>
      <c r="F78" s="3228"/>
      <c r="G78" s="3228">
        <v>13430</v>
      </c>
    </row>
    <row r="79" spans="1:7" s="3217" customFormat="1" ht="14.25" customHeight="1">
      <c r="A79" s="3228" t="s">
        <v>106</v>
      </c>
      <c r="B79" s="3228" t="s">
        <v>2941</v>
      </c>
      <c r="C79" s="3228">
        <v>21660</v>
      </c>
      <c r="D79" s="3228">
        <v>18000</v>
      </c>
      <c r="E79" s="3228">
        <v>22570</v>
      </c>
      <c r="F79" s="3228"/>
      <c r="G79" s="3228">
        <v>12220</v>
      </c>
    </row>
    <row r="80" spans="1:7" s="3217" customFormat="1" ht="14.25" customHeight="1">
      <c r="A80" s="3228" t="s">
        <v>106</v>
      </c>
      <c r="B80" s="3228" t="s">
        <v>2945</v>
      </c>
      <c r="C80" s="3228">
        <v>19850</v>
      </c>
      <c r="D80" s="3228"/>
      <c r="E80" s="3228">
        <v>21700</v>
      </c>
      <c r="F80" s="3228"/>
      <c r="G80" s="3228"/>
    </row>
    <row r="81" spans="1:7" s="3217" customFormat="1" ht="14.25" customHeight="1">
      <c r="A81" s="3228" t="s">
        <v>106</v>
      </c>
      <c r="B81" s="3228" t="s">
        <v>2950</v>
      </c>
      <c r="C81" s="3228">
        <v>18080</v>
      </c>
      <c r="D81" s="3228"/>
      <c r="E81" s="3228">
        <v>20900</v>
      </c>
      <c r="F81" s="3228"/>
      <c r="G81" s="3228"/>
    </row>
    <row r="82" spans="1:7" s="3217" customFormat="1" ht="14.25" customHeight="1">
      <c r="A82" s="3228" t="s">
        <v>106</v>
      </c>
      <c r="B82" s="3228" t="s">
        <v>2957</v>
      </c>
      <c r="C82" s="3228"/>
      <c r="D82" s="3228"/>
      <c r="E82" s="3228">
        <v>20840</v>
      </c>
      <c r="F82" s="3228"/>
      <c r="G82" s="3228"/>
    </row>
    <row r="83" spans="1:7" s="3217" customFormat="1" ht="14.25" customHeight="1">
      <c r="A83" s="3228" t="s">
        <v>106</v>
      </c>
      <c r="B83" s="3228" t="s">
        <v>3068</v>
      </c>
      <c r="C83" s="3228"/>
      <c r="D83" s="3228"/>
      <c r="E83" s="3228"/>
      <c r="F83" s="3228">
        <v>4770</v>
      </c>
      <c r="G83" s="3228"/>
    </row>
    <row r="84" spans="1:7" s="3217" customFormat="1" ht="14.25" customHeight="1">
      <c r="A84" s="3228" t="s">
        <v>106</v>
      </c>
      <c r="B84" s="3228" t="s">
        <v>3069</v>
      </c>
      <c r="C84" s="3228"/>
      <c r="D84" s="3228"/>
      <c r="E84" s="3228"/>
      <c r="F84" s="3228">
        <v>4600</v>
      </c>
      <c r="G84" s="3228"/>
    </row>
    <row r="85" spans="1:7" s="3217" customFormat="1" ht="14.25" customHeight="1">
      <c r="A85" s="3228" t="s">
        <v>106</v>
      </c>
      <c r="B85" s="3228" t="s">
        <v>3070</v>
      </c>
      <c r="C85" s="3228"/>
      <c r="D85" s="3228"/>
      <c r="E85" s="3228"/>
      <c r="F85" s="3228">
        <v>4680</v>
      </c>
      <c r="G85" s="3228"/>
    </row>
    <row r="86" spans="1:7" s="3217" customFormat="1" ht="14.25" customHeight="1" thickBot="1">
      <c r="A86" s="3236" t="s">
        <v>106</v>
      </c>
      <c r="B86" s="3238" t="s">
        <v>3071</v>
      </c>
      <c r="C86" s="3239">
        <v>16610</v>
      </c>
      <c r="D86" s="3239">
        <v>16540</v>
      </c>
      <c r="E86" s="3239">
        <v>18850</v>
      </c>
      <c r="F86" s="3239"/>
      <c r="G86" s="3239">
        <v>11220</v>
      </c>
    </row>
    <row r="87" spans="1:7" s="3217" customFormat="1" ht="14.25" customHeight="1">
      <c r="A87" s="3233" t="s">
        <v>299</v>
      </c>
      <c r="B87" s="3224" t="s">
        <v>3072</v>
      </c>
      <c r="C87" s="3224">
        <v>15240</v>
      </c>
      <c r="D87" s="3224">
        <v>15170</v>
      </c>
      <c r="E87" s="3224">
        <v>18260</v>
      </c>
      <c r="F87" s="3224">
        <v>3830</v>
      </c>
      <c r="G87" s="3240">
        <v>10020</v>
      </c>
    </row>
    <row r="88" spans="1:7" s="3217" customFormat="1" ht="14.25" customHeight="1">
      <c r="A88" s="3228" t="s">
        <v>299</v>
      </c>
      <c r="B88" s="3228" t="s">
        <v>127</v>
      </c>
      <c r="C88" s="3228">
        <v>17310</v>
      </c>
      <c r="D88" s="3228">
        <v>17220</v>
      </c>
      <c r="E88" s="3228">
        <v>18610</v>
      </c>
      <c r="F88" s="3228">
        <v>3990</v>
      </c>
      <c r="G88" s="3241">
        <v>11380</v>
      </c>
    </row>
    <row r="89" spans="1:7" s="3217" customFormat="1" ht="14.25" customHeight="1">
      <c r="A89" s="3228" t="s">
        <v>299</v>
      </c>
      <c r="B89" s="3228" t="s">
        <v>136</v>
      </c>
      <c r="C89" s="3228">
        <v>15600</v>
      </c>
      <c r="D89" s="3228">
        <v>15550</v>
      </c>
      <c r="E89" s="3228">
        <v>19200</v>
      </c>
      <c r="F89" s="3228">
        <v>4110</v>
      </c>
      <c r="G89" s="3241">
        <v>10270</v>
      </c>
    </row>
    <row r="90" spans="1:7" s="3217" customFormat="1" ht="14.25" customHeight="1">
      <c r="A90" s="3228" t="s">
        <v>299</v>
      </c>
      <c r="B90" s="3228" t="s">
        <v>145</v>
      </c>
      <c r="C90" s="3228">
        <v>17330</v>
      </c>
      <c r="D90" s="3228">
        <v>17240</v>
      </c>
      <c r="E90" s="3228">
        <v>18570</v>
      </c>
      <c r="F90" s="3228">
        <v>4070</v>
      </c>
      <c r="G90" s="3241">
        <v>11390</v>
      </c>
    </row>
    <row r="91" spans="1:7" s="3217" customFormat="1" ht="14.25" customHeight="1">
      <c r="A91" s="3228" t="s">
        <v>299</v>
      </c>
      <c r="B91" s="3228" t="s">
        <v>154</v>
      </c>
      <c r="C91" s="3228">
        <v>16330</v>
      </c>
      <c r="D91" s="3228">
        <v>16260</v>
      </c>
      <c r="E91" s="3228">
        <v>16800</v>
      </c>
      <c r="F91" s="3228">
        <v>3410</v>
      </c>
      <c r="G91" s="3241">
        <v>10740</v>
      </c>
    </row>
    <row r="92" spans="1:7" s="3217" customFormat="1" ht="14.25" customHeight="1">
      <c r="A92" s="3228" t="s">
        <v>299</v>
      </c>
      <c r="B92" s="3228" t="s">
        <v>161</v>
      </c>
      <c r="C92" s="3228">
        <v>15570</v>
      </c>
      <c r="D92" s="3228">
        <v>15500</v>
      </c>
      <c r="E92" s="3228">
        <v>17360</v>
      </c>
      <c r="F92" s="3228">
        <v>3510</v>
      </c>
      <c r="G92" s="3241">
        <v>10240</v>
      </c>
    </row>
    <row r="93" spans="1:7" s="3217" customFormat="1" ht="14.25" customHeight="1">
      <c r="A93" s="3228" t="s">
        <v>299</v>
      </c>
      <c r="B93" s="3228" t="s">
        <v>167</v>
      </c>
      <c r="C93" s="3228">
        <v>14000</v>
      </c>
      <c r="D93" s="3228">
        <v>13930</v>
      </c>
      <c r="E93" s="3228">
        <v>18200</v>
      </c>
      <c r="F93" s="3228">
        <v>3640</v>
      </c>
      <c r="G93" s="3241">
        <v>9210</v>
      </c>
    </row>
    <row r="94" spans="1:7" s="3217" customFormat="1" ht="14.25" customHeight="1">
      <c r="A94" s="3228" t="s">
        <v>299</v>
      </c>
      <c r="B94" s="3228" t="s">
        <v>174</v>
      </c>
      <c r="C94" s="3228">
        <v>14530</v>
      </c>
      <c r="D94" s="3228">
        <v>14470</v>
      </c>
      <c r="E94" s="3228">
        <v>18240</v>
      </c>
      <c r="F94" s="3228">
        <v>3180</v>
      </c>
      <c r="G94" s="3241">
        <v>9560</v>
      </c>
    </row>
    <row r="95" spans="1:7" s="3217" customFormat="1" ht="14.25" customHeight="1">
      <c r="A95" s="3228" t="s">
        <v>299</v>
      </c>
      <c r="B95" s="3228" t="s">
        <v>184</v>
      </c>
      <c r="C95" s="3228">
        <v>17330</v>
      </c>
      <c r="D95" s="3228">
        <v>17260</v>
      </c>
      <c r="E95" s="3228">
        <v>18420</v>
      </c>
      <c r="F95" s="3228">
        <v>3060</v>
      </c>
      <c r="G95" s="3241">
        <v>11410</v>
      </c>
    </row>
    <row r="96" spans="1:7" s="3217" customFormat="1" ht="14.25" customHeight="1">
      <c r="A96" s="3228" t="s">
        <v>299</v>
      </c>
      <c r="B96" s="3228" t="s">
        <v>193</v>
      </c>
      <c r="C96" s="3228">
        <v>15030</v>
      </c>
      <c r="D96" s="3228">
        <v>14970</v>
      </c>
      <c r="E96" s="3228">
        <v>17580</v>
      </c>
      <c r="F96" s="3228">
        <v>2970</v>
      </c>
      <c r="G96" s="3241">
        <v>9890</v>
      </c>
    </row>
    <row r="97" spans="1:7" s="3217" customFormat="1" ht="14.25" customHeight="1">
      <c r="A97" s="3228" t="s">
        <v>299</v>
      </c>
      <c r="B97" s="3228" t="s">
        <v>200</v>
      </c>
      <c r="C97" s="3228">
        <v>17400</v>
      </c>
      <c r="D97" s="3228">
        <v>17330</v>
      </c>
      <c r="E97" s="3228">
        <v>16430</v>
      </c>
      <c r="F97" s="3228">
        <v>2950</v>
      </c>
      <c r="G97" s="3241">
        <v>11450</v>
      </c>
    </row>
    <row r="98" spans="1:7" s="3217" customFormat="1" ht="14.25" customHeight="1">
      <c r="A98" s="3228" t="s">
        <v>299</v>
      </c>
      <c r="B98" s="3228" t="s">
        <v>207</v>
      </c>
      <c r="C98" s="3228">
        <v>15200</v>
      </c>
      <c r="D98" s="3228">
        <v>15120</v>
      </c>
      <c r="E98" s="3228">
        <v>17550</v>
      </c>
      <c r="F98" s="3228">
        <v>3080</v>
      </c>
      <c r="G98" s="3241">
        <v>9990</v>
      </c>
    </row>
    <row r="99" spans="1:7" s="3217" customFormat="1" ht="14.25" customHeight="1">
      <c r="A99" s="3228" t="s">
        <v>299</v>
      </c>
      <c r="B99" s="3228" t="s">
        <v>213</v>
      </c>
      <c r="C99" s="3228">
        <v>17520</v>
      </c>
      <c r="D99" s="3228">
        <v>17430</v>
      </c>
      <c r="E99" s="3228">
        <v>16350</v>
      </c>
      <c r="F99" s="3228">
        <v>3260</v>
      </c>
      <c r="G99" s="3241">
        <v>11510</v>
      </c>
    </row>
    <row r="100" spans="1:7" s="3217" customFormat="1" ht="14.25" customHeight="1">
      <c r="A100" s="3228" t="s">
        <v>299</v>
      </c>
      <c r="B100" s="3228" t="s">
        <v>221</v>
      </c>
      <c r="C100" s="3228">
        <v>15340</v>
      </c>
      <c r="D100" s="3228">
        <v>15260</v>
      </c>
      <c r="E100" s="3228">
        <v>15930</v>
      </c>
      <c r="F100" s="3228">
        <v>2740</v>
      </c>
      <c r="G100" s="3241">
        <v>10080</v>
      </c>
    </row>
    <row r="101" spans="1:7" s="3217" customFormat="1" ht="14.25" customHeight="1">
      <c r="A101" s="3228" t="s">
        <v>299</v>
      </c>
      <c r="B101" s="3228" t="s">
        <v>229</v>
      </c>
      <c r="C101" s="3228">
        <v>14620</v>
      </c>
      <c r="D101" s="3228">
        <v>14560</v>
      </c>
      <c r="E101" s="3228">
        <v>15570</v>
      </c>
      <c r="F101" s="3228">
        <v>3500</v>
      </c>
      <c r="G101" s="3241">
        <v>9630</v>
      </c>
    </row>
    <row r="102" spans="1:7" s="3217" customFormat="1" ht="14.25" customHeight="1">
      <c r="A102" s="3228" t="s">
        <v>299</v>
      </c>
      <c r="B102" s="3228" t="s">
        <v>234</v>
      </c>
      <c r="C102" s="3228">
        <v>13680</v>
      </c>
      <c r="D102" s="3228">
        <v>13610</v>
      </c>
      <c r="E102" s="3228">
        <v>15690</v>
      </c>
      <c r="F102" s="3228">
        <v>2870</v>
      </c>
      <c r="G102" s="3241">
        <v>8990</v>
      </c>
    </row>
    <row r="103" spans="1:7" s="3217" customFormat="1" ht="14.25" customHeight="1">
      <c r="A103" s="3228" t="s">
        <v>299</v>
      </c>
      <c r="B103" s="3228" t="s">
        <v>243</v>
      </c>
      <c r="C103" s="3228">
        <v>14620</v>
      </c>
      <c r="D103" s="3228">
        <v>14540</v>
      </c>
      <c r="E103" s="3228">
        <v>15240</v>
      </c>
      <c r="F103" s="3228">
        <v>2840</v>
      </c>
      <c r="G103" s="3241">
        <v>9610</v>
      </c>
    </row>
    <row r="104" spans="1:7" s="3217" customFormat="1" ht="14.25" customHeight="1">
      <c r="A104" s="3228" t="s">
        <v>299</v>
      </c>
      <c r="B104" s="3228" t="s">
        <v>250</v>
      </c>
      <c r="C104" s="3228">
        <v>13610</v>
      </c>
      <c r="D104" s="3228">
        <v>13540</v>
      </c>
      <c r="E104" s="3228">
        <v>15750</v>
      </c>
      <c r="F104" s="3228">
        <v>2770</v>
      </c>
      <c r="G104" s="3241">
        <v>8940</v>
      </c>
    </row>
    <row r="105" spans="1:7" s="3217" customFormat="1" ht="14.25" customHeight="1">
      <c r="A105" s="3228" t="s">
        <v>299</v>
      </c>
      <c r="B105" s="3228" t="s">
        <v>258</v>
      </c>
      <c r="C105" s="3228">
        <v>13310</v>
      </c>
      <c r="D105" s="3228">
        <v>13240</v>
      </c>
      <c r="E105" s="3228">
        <v>16280</v>
      </c>
      <c r="F105" s="3228">
        <v>3210</v>
      </c>
      <c r="G105" s="3241">
        <v>8750</v>
      </c>
    </row>
    <row r="106" spans="1:7" s="3217" customFormat="1" ht="14.25" customHeight="1">
      <c r="A106" s="3228" t="s">
        <v>299</v>
      </c>
      <c r="B106" s="3228" t="s">
        <v>265</v>
      </c>
      <c r="C106" s="3228">
        <v>13010</v>
      </c>
      <c r="D106" s="3228">
        <v>12930</v>
      </c>
      <c r="E106" s="3228">
        <v>14960</v>
      </c>
      <c r="F106" s="3228">
        <v>3530</v>
      </c>
      <c r="G106" s="3241">
        <v>8550</v>
      </c>
    </row>
    <row r="107" spans="1:7" s="3217" customFormat="1" ht="14.25" customHeight="1">
      <c r="A107" s="3228" t="s">
        <v>299</v>
      </c>
      <c r="B107" s="3228" t="s">
        <v>269</v>
      </c>
      <c r="C107" s="3228">
        <v>13070</v>
      </c>
      <c r="D107" s="3228">
        <v>13000</v>
      </c>
      <c r="E107" s="3228">
        <v>15910</v>
      </c>
      <c r="F107" s="3228">
        <v>3990</v>
      </c>
      <c r="G107" s="3241">
        <v>8580</v>
      </c>
    </row>
    <row r="108" spans="1:7" s="3217" customFormat="1" ht="14.25" customHeight="1">
      <c r="A108" s="3228" t="s">
        <v>299</v>
      </c>
      <c r="B108" s="3228" t="s">
        <v>275</v>
      </c>
      <c r="C108" s="3228">
        <v>12640</v>
      </c>
      <c r="D108" s="3228">
        <v>12580</v>
      </c>
      <c r="E108" s="3228">
        <v>15730</v>
      </c>
      <c r="F108" s="3228"/>
      <c r="G108" s="3241">
        <v>8310</v>
      </c>
    </row>
    <row r="109" spans="1:7" s="3217" customFormat="1" ht="14.25" customHeight="1">
      <c r="A109" s="3228" t="s">
        <v>299</v>
      </c>
      <c r="B109" s="3228" t="s">
        <v>278</v>
      </c>
      <c r="C109" s="3228">
        <v>13130</v>
      </c>
      <c r="D109" s="3228">
        <v>13070</v>
      </c>
      <c r="E109" s="3228">
        <v>15000</v>
      </c>
      <c r="F109" s="3228"/>
      <c r="G109" s="3241">
        <v>8630</v>
      </c>
    </row>
    <row r="110" spans="1:7" s="3217" customFormat="1" ht="14.25" customHeight="1">
      <c r="A110" s="3228" t="s">
        <v>299</v>
      </c>
      <c r="B110" s="3228" t="s">
        <v>280</v>
      </c>
      <c r="C110" s="3228">
        <v>13560</v>
      </c>
      <c r="D110" s="3228">
        <v>13490</v>
      </c>
      <c r="E110" s="3228">
        <v>16300</v>
      </c>
      <c r="F110" s="3228"/>
      <c r="G110" s="3241">
        <v>8920</v>
      </c>
    </row>
    <row r="111" spans="1:7" s="3217" customFormat="1" ht="14.25" customHeight="1">
      <c r="A111" s="3228" t="s">
        <v>299</v>
      </c>
      <c r="B111" s="3228" t="s">
        <v>283</v>
      </c>
      <c r="C111" s="3228">
        <v>12440</v>
      </c>
      <c r="D111" s="3228">
        <v>12380</v>
      </c>
      <c r="E111" s="3228">
        <v>17850</v>
      </c>
      <c r="F111" s="3228"/>
      <c r="G111" s="3241">
        <v>8180</v>
      </c>
    </row>
    <row r="112" spans="1:7" s="3217" customFormat="1" ht="14.25" customHeight="1">
      <c r="A112" s="3228" t="s">
        <v>299</v>
      </c>
      <c r="B112" s="3228" t="s">
        <v>287</v>
      </c>
      <c r="C112" s="3228">
        <v>13260</v>
      </c>
      <c r="D112" s="3228">
        <v>13180</v>
      </c>
      <c r="E112" s="3228">
        <v>19740</v>
      </c>
      <c r="F112" s="3228"/>
      <c r="G112" s="3241">
        <v>8710</v>
      </c>
    </row>
    <row r="113" spans="1:7" s="3217" customFormat="1" ht="14.25" customHeight="1">
      <c r="A113" s="3228" t="s">
        <v>299</v>
      </c>
      <c r="B113" s="3228" t="s">
        <v>2951</v>
      </c>
      <c r="C113" s="3228">
        <v>15520</v>
      </c>
      <c r="D113" s="3228">
        <v>15450</v>
      </c>
      <c r="E113" s="3228"/>
      <c r="F113" s="3228"/>
      <c r="G113" s="3241">
        <v>10210</v>
      </c>
    </row>
    <row r="114" spans="1:7" s="3217" customFormat="1" ht="14.25" customHeight="1">
      <c r="A114" s="3228" t="s">
        <v>299</v>
      </c>
      <c r="B114" s="3228" t="s">
        <v>2958</v>
      </c>
      <c r="C114" s="3228">
        <v>13110</v>
      </c>
      <c r="D114" s="3228">
        <v>13050</v>
      </c>
      <c r="E114" s="3228"/>
      <c r="F114" s="3228"/>
      <c r="G114" s="3241">
        <v>8620</v>
      </c>
    </row>
    <row r="115" spans="1:7" s="3217" customFormat="1" ht="14.25" customHeight="1">
      <c r="A115" s="3228" t="s">
        <v>299</v>
      </c>
      <c r="B115" s="3228" t="s">
        <v>2964</v>
      </c>
      <c r="C115" s="3228">
        <v>12460</v>
      </c>
      <c r="D115" s="3228">
        <v>12390</v>
      </c>
      <c r="E115" s="3228"/>
      <c r="F115" s="3228"/>
      <c r="G115" s="3241">
        <v>8190</v>
      </c>
    </row>
    <row r="116" spans="1:7" s="3217" customFormat="1" ht="14.25" customHeight="1">
      <c r="A116" s="3228" t="s">
        <v>299</v>
      </c>
      <c r="B116" s="3228" t="s">
        <v>2971</v>
      </c>
      <c r="C116" s="3228">
        <v>13580</v>
      </c>
      <c r="D116" s="3228">
        <v>13520</v>
      </c>
      <c r="E116" s="3228"/>
      <c r="F116" s="3228"/>
      <c r="G116" s="3241">
        <v>8930</v>
      </c>
    </row>
    <row r="117" spans="1:7" s="3217" customFormat="1" ht="14.25" customHeight="1">
      <c r="A117" s="3228" t="s">
        <v>299</v>
      </c>
      <c r="B117" s="3228" t="s">
        <v>2978</v>
      </c>
      <c r="C117" s="3228">
        <v>17120</v>
      </c>
      <c r="D117" s="3228">
        <v>17040</v>
      </c>
      <c r="E117" s="3228"/>
      <c r="F117" s="3228"/>
      <c r="G117" s="3241">
        <v>11260</v>
      </c>
    </row>
    <row r="118" spans="1:7" s="3217" customFormat="1" ht="14.25" customHeight="1">
      <c r="A118" s="3228" t="s">
        <v>299</v>
      </c>
      <c r="B118" s="3228" t="s">
        <v>2983</v>
      </c>
      <c r="C118" s="3228">
        <v>14860</v>
      </c>
      <c r="D118" s="3228">
        <v>14790</v>
      </c>
      <c r="E118" s="3228"/>
      <c r="F118" s="3228"/>
      <c r="G118" s="3241">
        <v>9780</v>
      </c>
    </row>
    <row r="119" spans="1:7" s="3217" customFormat="1" ht="14.25" customHeight="1">
      <c r="A119" s="3228" t="s">
        <v>299</v>
      </c>
      <c r="B119" s="3228" t="s">
        <v>2987</v>
      </c>
      <c r="C119" s="3228">
        <v>16470</v>
      </c>
      <c r="D119" s="3228">
        <v>16400</v>
      </c>
      <c r="E119" s="3228"/>
      <c r="F119" s="3228"/>
      <c r="G119" s="3241">
        <v>10840</v>
      </c>
    </row>
    <row r="120" spans="1:7" s="3217" customFormat="1" ht="14.25" customHeight="1">
      <c r="A120" s="3228" t="s">
        <v>299</v>
      </c>
      <c r="B120" s="3228" t="s">
        <v>3073</v>
      </c>
      <c r="C120" s="3228"/>
      <c r="D120" s="3228"/>
      <c r="E120" s="3228"/>
      <c r="F120" s="3228">
        <v>4160</v>
      </c>
      <c r="G120" s="3241"/>
    </row>
    <row r="121" spans="1:7" s="3217" customFormat="1" ht="14.25" customHeight="1">
      <c r="A121" s="3228" t="s">
        <v>299</v>
      </c>
      <c r="B121" s="3228" t="s">
        <v>3074</v>
      </c>
      <c r="C121" s="3228"/>
      <c r="D121" s="3228"/>
      <c r="E121" s="3228"/>
      <c r="F121" s="3228">
        <v>3880</v>
      </c>
      <c r="G121" s="3241"/>
    </row>
    <row r="122" spans="1:7" s="3217" customFormat="1" ht="14.25" customHeight="1">
      <c r="A122" s="3228" t="s">
        <v>299</v>
      </c>
      <c r="B122" s="3228" t="s">
        <v>3075</v>
      </c>
      <c r="C122" s="3228">
        <v>13750</v>
      </c>
      <c r="D122" s="3228">
        <v>13680</v>
      </c>
      <c r="E122" s="3228">
        <v>16460</v>
      </c>
      <c r="F122" s="3228">
        <v>2880</v>
      </c>
      <c r="G122" s="3241">
        <v>9040</v>
      </c>
    </row>
    <row r="123" spans="1:7" s="3217" customFormat="1" ht="14.25" customHeight="1">
      <c r="A123" s="3228" t="s">
        <v>299</v>
      </c>
      <c r="B123" s="3228" t="s">
        <v>3006</v>
      </c>
      <c r="C123" s="3228">
        <v>13590</v>
      </c>
      <c r="D123" s="3228">
        <v>13520</v>
      </c>
      <c r="E123" s="3228">
        <v>16290</v>
      </c>
      <c r="F123" s="3228">
        <v>2790</v>
      </c>
      <c r="G123" s="3241">
        <v>8930</v>
      </c>
    </row>
    <row r="124" spans="1:7" s="3217" customFormat="1" ht="14.25" customHeight="1">
      <c r="A124" s="3228" t="s">
        <v>299</v>
      </c>
      <c r="B124" s="3228" t="s">
        <v>3011</v>
      </c>
      <c r="C124" s="3228">
        <v>13400</v>
      </c>
      <c r="D124" s="3228">
        <v>13320</v>
      </c>
      <c r="E124" s="3228">
        <v>16100</v>
      </c>
      <c r="F124" s="3228">
        <v>2320</v>
      </c>
      <c r="G124" s="3241">
        <v>8800</v>
      </c>
    </row>
    <row r="125" spans="1:7" s="3217" customFormat="1" ht="14.25" customHeight="1">
      <c r="A125" s="3228" t="s">
        <v>299</v>
      </c>
      <c r="B125" s="3228" t="s">
        <v>3016</v>
      </c>
      <c r="C125" s="3228">
        <v>12860</v>
      </c>
      <c r="D125" s="3228">
        <v>12790</v>
      </c>
      <c r="E125" s="3228">
        <v>15370</v>
      </c>
      <c r="F125" s="3228">
        <v>2280</v>
      </c>
      <c r="G125" s="3241">
        <v>8450</v>
      </c>
    </row>
    <row r="126" spans="1:7" s="3217" customFormat="1" ht="14.25" customHeight="1" thickBot="1">
      <c r="A126" s="3242" t="s">
        <v>299</v>
      </c>
      <c r="B126" s="3235" t="s">
        <v>3021</v>
      </c>
      <c r="C126" s="3235">
        <v>12960</v>
      </c>
      <c r="D126" s="3235">
        <v>12890</v>
      </c>
      <c r="E126" s="3235">
        <v>15530</v>
      </c>
      <c r="F126" s="3235">
        <v>2910</v>
      </c>
      <c r="G126" s="3243">
        <v>8520</v>
      </c>
    </row>
    <row r="127" spans="1:7" s="3217" customFormat="1" ht="14.25" customHeight="1">
      <c r="A127" s="3233" t="s">
        <v>25</v>
      </c>
      <c r="B127" s="3224" t="s">
        <v>3076</v>
      </c>
      <c r="C127" s="3228">
        <v>12280</v>
      </c>
      <c r="D127" s="3228">
        <v>12250</v>
      </c>
      <c r="E127" s="3228">
        <v>15130</v>
      </c>
      <c r="F127" s="3228">
        <v>2710</v>
      </c>
      <c r="G127" s="3228">
        <v>7870</v>
      </c>
    </row>
    <row r="128" spans="1:7" s="3217" customFormat="1" ht="14.25" customHeight="1">
      <c r="A128" s="3228" t="s">
        <v>25</v>
      </c>
      <c r="B128" s="3228" t="s">
        <v>128</v>
      </c>
      <c r="C128" s="3228">
        <v>13180</v>
      </c>
      <c r="D128" s="3228">
        <v>13150</v>
      </c>
      <c r="E128" s="3228">
        <v>16190</v>
      </c>
      <c r="F128" s="3228">
        <v>2820</v>
      </c>
      <c r="G128" s="3228">
        <v>8460</v>
      </c>
    </row>
    <row r="129" spans="1:7" s="3217" customFormat="1" ht="14.25" customHeight="1">
      <c r="A129" s="3228" t="s">
        <v>25</v>
      </c>
      <c r="B129" s="3228" t="s">
        <v>137</v>
      </c>
      <c r="C129" s="3228">
        <v>10950</v>
      </c>
      <c r="D129" s="3228">
        <v>10920</v>
      </c>
      <c r="E129" s="3228">
        <v>13820</v>
      </c>
      <c r="F129" s="3228">
        <v>2500</v>
      </c>
      <c r="G129" s="3228">
        <v>7020</v>
      </c>
    </row>
    <row r="130" spans="1:7" s="3217" customFormat="1" ht="14.25" customHeight="1">
      <c r="A130" s="3228" t="s">
        <v>25</v>
      </c>
      <c r="B130" s="3228" t="s">
        <v>146</v>
      </c>
      <c r="C130" s="3228">
        <v>10910</v>
      </c>
      <c r="D130" s="3228">
        <v>10860</v>
      </c>
      <c r="E130" s="3228">
        <v>13730</v>
      </c>
      <c r="F130" s="3228">
        <v>2760</v>
      </c>
      <c r="G130" s="3228">
        <v>6990</v>
      </c>
    </row>
    <row r="131" spans="1:7" s="3217" customFormat="1" ht="14.25" customHeight="1">
      <c r="A131" s="3228" t="s">
        <v>25</v>
      </c>
      <c r="B131" s="3228" t="s">
        <v>155</v>
      </c>
      <c r="C131" s="3228">
        <v>12910</v>
      </c>
      <c r="D131" s="3228">
        <v>12870</v>
      </c>
      <c r="E131" s="3228">
        <v>15720</v>
      </c>
      <c r="F131" s="3228">
        <v>2750</v>
      </c>
      <c r="G131" s="3228">
        <v>8280</v>
      </c>
    </row>
    <row r="132" spans="1:7" s="3217" customFormat="1" ht="14.25" customHeight="1">
      <c r="A132" s="3228" t="s">
        <v>25</v>
      </c>
      <c r="B132" s="3228" t="s">
        <v>162</v>
      </c>
      <c r="C132" s="3228">
        <v>11910</v>
      </c>
      <c r="D132" s="3228">
        <v>11860</v>
      </c>
      <c r="E132" s="3228">
        <v>14730</v>
      </c>
      <c r="F132" s="3228">
        <v>2360</v>
      </c>
      <c r="G132" s="3228">
        <v>7630</v>
      </c>
    </row>
    <row r="133" spans="1:7" s="3217" customFormat="1" ht="14.25" customHeight="1">
      <c r="A133" s="3228" t="s">
        <v>25</v>
      </c>
      <c r="B133" s="3228" t="s">
        <v>168</v>
      </c>
      <c r="C133" s="3228">
        <v>12270</v>
      </c>
      <c r="D133" s="3228">
        <v>12210</v>
      </c>
      <c r="E133" s="3228">
        <v>15010</v>
      </c>
      <c r="F133" s="3228">
        <v>2580</v>
      </c>
      <c r="G133" s="3228">
        <v>7860</v>
      </c>
    </row>
    <row r="134" spans="1:7" s="3217" customFormat="1" ht="14.25" customHeight="1">
      <c r="A134" s="3228" t="s">
        <v>25</v>
      </c>
      <c r="B134" s="3228" t="s">
        <v>175</v>
      </c>
      <c r="C134" s="3228">
        <v>10800</v>
      </c>
      <c r="D134" s="3228">
        <v>10780</v>
      </c>
      <c r="E134" s="3228">
        <v>13640</v>
      </c>
      <c r="F134" s="3228">
        <v>2110</v>
      </c>
      <c r="G134" s="3228">
        <v>6930</v>
      </c>
    </row>
    <row r="135" spans="1:7" s="3217" customFormat="1" ht="14.25" customHeight="1">
      <c r="A135" s="3228" t="s">
        <v>25</v>
      </c>
      <c r="B135" s="3228" t="s">
        <v>185</v>
      </c>
      <c r="C135" s="3228">
        <v>10430</v>
      </c>
      <c r="D135" s="3228">
        <v>10390</v>
      </c>
      <c r="E135" s="3228">
        <v>13140</v>
      </c>
      <c r="F135" s="3228">
        <v>2240</v>
      </c>
      <c r="G135" s="3228">
        <v>6680</v>
      </c>
    </row>
    <row r="136" spans="1:7" s="3217" customFormat="1" ht="14.25" customHeight="1">
      <c r="A136" s="3228" t="s">
        <v>25</v>
      </c>
      <c r="B136" s="3228" t="s">
        <v>194</v>
      </c>
      <c r="C136" s="3228">
        <v>11930</v>
      </c>
      <c r="D136" s="3228">
        <v>11880</v>
      </c>
      <c r="E136" s="3228">
        <v>14770</v>
      </c>
      <c r="F136" s="3228">
        <v>1970</v>
      </c>
      <c r="G136" s="3228">
        <v>7640</v>
      </c>
    </row>
    <row r="137" spans="1:7" s="3217" customFormat="1" ht="14.25" customHeight="1">
      <c r="A137" s="3228" t="s">
        <v>25</v>
      </c>
      <c r="B137" s="3228" t="s">
        <v>201</v>
      </c>
      <c r="C137" s="3228">
        <v>10470</v>
      </c>
      <c r="D137" s="3228">
        <v>10430</v>
      </c>
      <c r="E137" s="3228">
        <v>13190</v>
      </c>
      <c r="F137" s="3228">
        <v>1990</v>
      </c>
      <c r="G137" s="3228">
        <v>6710</v>
      </c>
    </row>
    <row r="138" spans="1:7" s="3217" customFormat="1" ht="14.25" customHeight="1">
      <c r="A138" s="3228" t="s">
        <v>25</v>
      </c>
      <c r="B138" s="3228" t="s">
        <v>208</v>
      </c>
      <c r="C138" s="3228">
        <v>10410</v>
      </c>
      <c r="D138" s="3228">
        <v>10380</v>
      </c>
      <c r="E138" s="3228">
        <v>13130</v>
      </c>
      <c r="F138" s="3228">
        <v>2030</v>
      </c>
      <c r="G138" s="3228">
        <v>6680</v>
      </c>
    </row>
    <row r="139" spans="1:7" s="3217" customFormat="1" ht="14.25" customHeight="1">
      <c r="A139" s="3228" t="s">
        <v>25</v>
      </c>
      <c r="B139" s="3228" t="s">
        <v>214</v>
      </c>
      <c r="C139" s="3228">
        <v>9460</v>
      </c>
      <c r="D139" s="3228">
        <v>9410</v>
      </c>
      <c r="E139" s="3228">
        <v>12050</v>
      </c>
      <c r="F139" s="3228">
        <v>2140</v>
      </c>
      <c r="G139" s="3228">
        <v>6050</v>
      </c>
    </row>
    <row r="140" spans="1:7" s="3217" customFormat="1" ht="14.25" customHeight="1">
      <c r="A140" s="3228" t="s">
        <v>25</v>
      </c>
      <c r="B140" s="3228" t="s">
        <v>222</v>
      </c>
      <c r="C140" s="3228">
        <v>11030</v>
      </c>
      <c r="D140" s="3228">
        <v>10980</v>
      </c>
      <c r="E140" s="3228">
        <v>13880</v>
      </c>
      <c r="F140" s="3228">
        <v>2210</v>
      </c>
      <c r="G140" s="3228">
        <v>7060</v>
      </c>
    </row>
    <row r="141" spans="1:7" s="3217" customFormat="1" ht="14.25" customHeight="1">
      <c r="A141" s="3228" t="s">
        <v>25</v>
      </c>
      <c r="B141" s="3228" t="s">
        <v>230</v>
      </c>
      <c r="C141" s="3228">
        <v>11200</v>
      </c>
      <c r="D141" s="3228">
        <v>11150</v>
      </c>
      <c r="E141" s="3228">
        <v>14100</v>
      </c>
      <c r="F141" s="3228">
        <v>2470</v>
      </c>
      <c r="G141" s="3228">
        <v>7170</v>
      </c>
    </row>
    <row r="142" spans="1:7" s="3217" customFormat="1" ht="14.25" customHeight="1">
      <c r="A142" s="3228" t="s">
        <v>25</v>
      </c>
      <c r="B142" s="3228" t="s">
        <v>235</v>
      </c>
      <c r="C142" s="3228">
        <v>10780</v>
      </c>
      <c r="D142" s="3228">
        <v>10730</v>
      </c>
      <c r="E142" s="3228">
        <v>13540</v>
      </c>
      <c r="F142" s="3228">
        <v>2280</v>
      </c>
      <c r="G142" s="3228">
        <v>6900</v>
      </c>
    </row>
    <row r="143" spans="1:7" s="3217" customFormat="1" ht="14.25" customHeight="1">
      <c r="A143" s="3228" t="s">
        <v>25</v>
      </c>
      <c r="B143" s="3228" t="s">
        <v>244</v>
      </c>
      <c r="C143" s="3228">
        <v>11550</v>
      </c>
      <c r="D143" s="3228">
        <v>11490</v>
      </c>
      <c r="E143" s="3228">
        <v>14480</v>
      </c>
      <c r="F143" s="3228">
        <v>2070</v>
      </c>
      <c r="G143" s="3228">
        <v>7390</v>
      </c>
    </row>
    <row r="144" spans="1:7" s="3217" customFormat="1" ht="14.25" customHeight="1">
      <c r="A144" s="3228" t="s">
        <v>25</v>
      </c>
      <c r="B144" s="3228" t="s">
        <v>251</v>
      </c>
      <c r="C144" s="3228">
        <v>10720</v>
      </c>
      <c r="D144" s="3228">
        <v>10680</v>
      </c>
      <c r="E144" s="3228">
        <v>13480</v>
      </c>
      <c r="F144" s="3228">
        <v>2440</v>
      </c>
      <c r="G144" s="3228">
        <v>6870</v>
      </c>
    </row>
    <row r="145" spans="1:7" s="3217" customFormat="1" ht="14.25" customHeight="1">
      <c r="A145" s="3228" t="s">
        <v>25</v>
      </c>
      <c r="B145" s="3228" t="s">
        <v>259</v>
      </c>
      <c r="C145" s="3228">
        <v>10340</v>
      </c>
      <c r="D145" s="3228">
        <v>10290</v>
      </c>
      <c r="E145" s="3228">
        <v>12880</v>
      </c>
      <c r="F145" s="3228">
        <v>2650</v>
      </c>
      <c r="G145" s="3228">
        <v>6620</v>
      </c>
    </row>
    <row r="146" spans="1:7" s="3217" customFormat="1" ht="14.25" customHeight="1">
      <c r="A146" s="3228" t="s">
        <v>25</v>
      </c>
      <c r="B146" s="3228" t="s">
        <v>266</v>
      </c>
      <c r="C146" s="3228">
        <v>11890</v>
      </c>
      <c r="D146" s="3228">
        <v>11830</v>
      </c>
      <c r="E146" s="3228">
        <v>14670</v>
      </c>
      <c r="F146" s="3228"/>
      <c r="G146" s="3228">
        <v>7610</v>
      </c>
    </row>
    <row r="147" spans="1:7" s="3217" customFormat="1" ht="14.25" customHeight="1">
      <c r="A147" s="3228" t="s">
        <v>25</v>
      </c>
      <c r="B147" s="3228" t="s">
        <v>270</v>
      </c>
      <c r="C147" s="3228">
        <v>12650</v>
      </c>
      <c r="D147" s="3228">
        <v>12600</v>
      </c>
      <c r="E147" s="3228">
        <v>15440</v>
      </c>
      <c r="F147" s="3228"/>
      <c r="G147" s="3228">
        <v>8110</v>
      </c>
    </row>
    <row r="148" spans="1:7" s="3217" customFormat="1" ht="14.25" customHeight="1">
      <c r="A148" s="3228" t="s">
        <v>25</v>
      </c>
      <c r="B148" s="3228" t="s">
        <v>3077</v>
      </c>
      <c r="C148" s="3228">
        <v>10370</v>
      </c>
      <c r="D148" s="3228">
        <v>10310</v>
      </c>
      <c r="E148" s="3228">
        <v>12970</v>
      </c>
      <c r="F148" s="3228"/>
      <c r="G148" s="3228">
        <v>6630</v>
      </c>
    </row>
    <row r="149" spans="1:7" s="3217" customFormat="1" ht="14.25" customHeight="1">
      <c r="A149" s="3228" t="s">
        <v>25</v>
      </c>
      <c r="B149" s="3228" t="s">
        <v>3078</v>
      </c>
      <c r="C149" s="3228">
        <v>11600</v>
      </c>
      <c r="D149" s="3228">
        <v>11560</v>
      </c>
      <c r="E149" s="3228">
        <v>14540</v>
      </c>
      <c r="F149" s="3228">
        <v>2390</v>
      </c>
      <c r="G149" s="3228">
        <v>7430</v>
      </c>
    </row>
    <row r="150" spans="1:7" s="3217" customFormat="1" ht="14.25" customHeight="1">
      <c r="A150" s="3228" t="s">
        <v>25</v>
      </c>
      <c r="B150" s="3228" t="s">
        <v>288</v>
      </c>
      <c r="C150" s="3228">
        <v>9950</v>
      </c>
      <c r="D150" s="3228">
        <v>9890</v>
      </c>
      <c r="E150" s="3228">
        <v>12590</v>
      </c>
      <c r="F150" s="3228">
        <v>1970</v>
      </c>
      <c r="G150" s="3228">
        <v>6360</v>
      </c>
    </row>
    <row r="151" spans="1:7" s="3217" customFormat="1" ht="14.25" customHeight="1">
      <c r="A151" s="3228" t="s">
        <v>25</v>
      </c>
      <c r="B151" s="3228" t="s">
        <v>290</v>
      </c>
      <c r="C151" s="3228">
        <v>10700</v>
      </c>
      <c r="D151" s="3228">
        <v>10650</v>
      </c>
      <c r="E151" s="3228">
        <v>13420</v>
      </c>
      <c r="F151" s="3228">
        <v>2020</v>
      </c>
      <c r="G151" s="3228">
        <v>6850</v>
      </c>
    </row>
    <row r="152" spans="1:7" s="3217" customFormat="1" ht="14.25" customHeight="1">
      <c r="A152" s="3228" t="s">
        <v>25</v>
      </c>
      <c r="B152" s="3228" t="s">
        <v>293</v>
      </c>
      <c r="C152" s="3228">
        <v>10310</v>
      </c>
      <c r="D152" s="3228">
        <v>10260</v>
      </c>
      <c r="E152" s="3228">
        <v>12820</v>
      </c>
      <c r="F152" s="3228">
        <v>1980</v>
      </c>
      <c r="G152" s="3228">
        <v>6600</v>
      </c>
    </row>
    <row r="153" spans="1:7" s="3217" customFormat="1" ht="14.25" customHeight="1">
      <c r="A153" s="3228" t="s">
        <v>25</v>
      </c>
      <c r="B153" s="3228" t="s">
        <v>2952</v>
      </c>
      <c r="C153" s="3228">
        <v>10880</v>
      </c>
      <c r="D153" s="3228">
        <v>10820</v>
      </c>
      <c r="E153" s="3228">
        <v>13660</v>
      </c>
      <c r="F153" s="3228">
        <v>2260</v>
      </c>
      <c r="G153" s="3228">
        <v>6970</v>
      </c>
    </row>
    <row r="154" spans="1:7" s="3217" customFormat="1" ht="14.25" customHeight="1">
      <c r="A154" s="3228" t="s">
        <v>25</v>
      </c>
      <c r="B154" s="3228" t="s">
        <v>3079</v>
      </c>
      <c r="C154" s="3228">
        <v>11220</v>
      </c>
      <c r="D154" s="3228">
        <v>11160</v>
      </c>
      <c r="E154" s="3228">
        <v>14130</v>
      </c>
      <c r="F154" s="3228">
        <v>2230</v>
      </c>
      <c r="G154" s="3228">
        <v>7180</v>
      </c>
    </row>
    <row r="155" spans="1:7" s="3217" customFormat="1" ht="14.25" customHeight="1">
      <c r="A155" s="3228" t="s">
        <v>25</v>
      </c>
      <c r="B155" s="3228" t="s">
        <v>2965</v>
      </c>
      <c r="C155" s="3228">
        <v>10430</v>
      </c>
      <c r="D155" s="3228">
        <v>10380</v>
      </c>
      <c r="E155" s="3228">
        <v>13140</v>
      </c>
      <c r="F155" s="3228">
        <v>2080</v>
      </c>
      <c r="G155" s="3228">
        <v>6650</v>
      </c>
    </row>
    <row r="156" spans="1:7" s="3217" customFormat="1" ht="14.25" customHeight="1">
      <c r="A156" s="3228" t="s">
        <v>25</v>
      </c>
      <c r="B156" s="3228" t="s">
        <v>3080</v>
      </c>
      <c r="C156" s="3228">
        <v>10440</v>
      </c>
      <c r="D156" s="3228">
        <v>10400</v>
      </c>
      <c r="E156" s="3228">
        <v>13150</v>
      </c>
      <c r="F156" s="3228">
        <v>2490</v>
      </c>
      <c r="G156" s="3228">
        <v>6690</v>
      </c>
    </row>
    <row r="157" spans="1:7" s="3217" customFormat="1" ht="14.25" customHeight="1">
      <c r="A157" s="3228" t="s">
        <v>25</v>
      </c>
      <c r="B157" s="3228" t="s">
        <v>296</v>
      </c>
      <c r="C157" s="3228">
        <v>10970</v>
      </c>
      <c r="D157" s="3228">
        <v>10920</v>
      </c>
      <c r="E157" s="3228">
        <v>13840</v>
      </c>
      <c r="F157" s="3228">
        <v>2420</v>
      </c>
      <c r="G157" s="3228">
        <v>7020</v>
      </c>
    </row>
    <row r="158" spans="1:7" s="3217" customFormat="1" ht="14.25" customHeight="1">
      <c r="A158" s="3228" t="s">
        <v>25</v>
      </c>
      <c r="B158" s="3228" t="s">
        <v>297</v>
      </c>
      <c r="C158" s="3228">
        <v>9590</v>
      </c>
      <c r="D158" s="3228">
        <v>9540</v>
      </c>
      <c r="E158" s="3228">
        <v>12210</v>
      </c>
      <c r="F158" s="3228">
        <v>2100</v>
      </c>
      <c r="G158" s="3228">
        <v>6130</v>
      </c>
    </row>
    <row r="159" spans="1:7" s="3217" customFormat="1" ht="14.25" customHeight="1">
      <c r="A159" s="3228" t="s">
        <v>25</v>
      </c>
      <c r="B159" s="3228" t="s">
        <v>298</v>
      </c>
      <c r="C159" s="3228">
        <v>11190</v>
      </c>
      <c r="D159" s="3228">
        <v>11140</v>
      </c>
      <c r="E159" s="3228">
        <v>14090</v>
      </c>
      <c r="F159" s="3228">
        <v>2470</v>
      </c>
      <c r="G159" s="3228">
        <v>7170</v>
      </c>
    </row>
    <row r="160" spans="1:7" s="3217" customFormat="1" ht="14.25" customHeight="1">
      <c r="A160" s="3228" t="s">
        <v>25</v>
      </c>
      <c r="B160" s="3228" t="s">
        <v>3081</v>
      </c>
      <c r="C160" s="3228">
        <v>11180</v>
      </c>
      <c r="D160" s="3228">
        <v>11140</v>
      </c>
      <c r="E160" s="3228">
        <v>14050</v>
      </c>
      <c r="F160" s="3228">
        <v>2270</v>
      </c>
      <c r="G160" s="3228">
        <v>7170</v>
      </c>
    </row>
    <row r="161" spans="1:7" s="3217" customFormat="1" ht="14.25" customHeight="1">
      <c r="A161" s="3228" t="s">
        <v>25</v>
      </c>
      <c r="B161" s="3228" t="s">
        <v>2997</v>
      </c>
      <c r="C161" s="3228">
        <v>11160</v>
      </c>
      <c r="D161" s="3228">
        <v>11120</v>
      </c>
      <c r="E161" s="3228">
        <v>14020</v>
      </c>
      <c r="F161" s="3228">
        <v>2150</v>
      </c>
      <c r="G161" s="3228">
        <v>7160</v>
      </c>
    </row>
    <row r="162" spans="1:7" s="3217" customFormat="1" ht="14.25" customHeight="1">
      <c r="A162" s="3228" t="s">
        <v>25</v>
      </c>
      <c r="B162" s="3228" t="s">
        <v>3002</v>
      </c>
      <c r="C162" s="3228">
        <v>9620</v>
      </c>
      <c r="D162" s="3228">
        <v>9570</v>
      </c>
      <c r="E162" s="3228">
        <v>12320</v>
      </c>
      <c r="F162" s="3228">
        <v>2010</v>
      </c>
      <c r="G162" s="3228">
        <v>6160</v>
      </c>
    </row>
    <row r="163" spans="1:7" s="3217" customFormat="1" ht="14.25" customHeight="1">
      <c r="A163" s="3228" t="s">
        <v>25</v>
      </c>
      <c r="B163" s="3228" t="s">
        <v>3007</v>
      </c>
      <c r="C163" s="3228">
        <v>9320</v>
      </c>
      <c r="D163" s="3228">
        <v>9270</v>
      </c>
      <c r="E163" s="3228">
        <v>11790</v>
      </c>
      <c r="F163" s="3228">
        <v>1920</v>
      </c>
      <c r="G163" s="3228">
        <v>5960</v>
      </c>
    </row>
    <row r="164" spans="1:7" s="3217" customFormat="1" ht="14.25" customHeight="1">
      <c r="A164" s="3228" t="s">
        <v>25</v>
      </c>
      <c r="B164" s="3228" t="s">
        <v>3012</v>
      </c>
      <c r="C164" s="3228"/>
      <c r="D164" s="3228"/>
      <c r="E164" s="3228"/>
      <c r="F164" s="3228">
        <v>1980</v>
      </c>
      <c r="G164" s="3228"/>
    </row>
    <row r="165" spans="1:7" s="3217" customFormat="1" ht="14.25" customHeight="1">
      <c r="A165" s="3228" t="s">
        <v>25</v>
      </c>
      <c r="B165" s="3228" t="s">
        <v>3082</v>
      </c>
      <c r="C165" s="3228">
        <v>11060</v>
      </c>
      <c r="D165" s="3228">
        <v>11030</v>
      </c>
      <c r="E165" s="3228">
        <v>13850</v>
      </c>
      <c r="F165" s="3228">
        <v>2170</v>
      </c>
      <c r="G165" s="3228">
        <v>7090</v>
      </c>
    </row>
    <row r="166" spans="1:7" s="3217" customFormat="1" ht="14.25" customHeight="1">
      <c r="A166" s="3228" t="s">
        <v>25</v>
      </c>
      <c r="B166" s="3228" t="s">
        <v>3022</v>
      </c>
      <c r="C166" s="3228">
        <v>11050</v>
      </c>
      <c r="D166" s="3228">
        <v>11010</v>
      </c>
      <c r="E166" s="3228">
        <v>13920</v>
      </c>
      <c r="F166" s="3228">
        <v>2140</v>
      </c>
      <c r="G166" s="3228">
        <v>7080</v>
      </c>
    </row>
    <row r="167" spans="1:7" s="3217" customFormat="1" ht="14.25" customHeight="1">
      <c r="A167" s="3228" t="s">
        <v>25</v>
      </c>
      <c r="B167" s="3228" t="s">
        <v>3026</v>
      </c>
      <c r="C167" s="3228">
        <v>10930</v>
      </c>
      <c r="D167" s="3228">
        <v>10890</v>
      </c>
      <c r="E167" s="3228">
        <v>13790</v>
      </c>
      <c r="F167" s="3228">
        <v>2010</v>
      </c>
      <c r="G167" s="3228">
        <v>7000</v>
      </c>
    </row>
    <row r="168" spans="1:7" s="3217" customFormat="1" ht="14.25" customHeight="1">
      <c r="A168" s="3228" t="s">
        <v>25</v>
      </c>
      <c r="B168" s="3228" t="s">
        <v>3031</v>
      </c>
      <c r="C168" s="3228">
        <v>9420</v>
      </c>
      <c r="D168" s="3228">
        <v>9380</v>
      </c>
      <c r="E168" s="3228">
        <v>11970</v>
      </c>
      <c r="F168" s="3228"/>
      <c r="G168" s="3228">
        <v>6040</v>
      </c>
    </row>
    <row r="169" spans="1:7" s="3217" customFormat="1" ht="14.25" customHeight="1">
      <c r="A169" s="3228" t="s">
        <v>25</v>
      </c>
      <c r="B169" s="3228" t="s">
        <v>3083</v>
      </c>
      <c r="C169" s="3228"/>
      <c r="D169" s="3228"/>
      <c r="E169" s="3228"/>
      <c r="F169" s="3228">
        <v>2880</v>
      </c>
      <c r="G169" s="3228"/>
    </row>
    <row r="170" spans="1:7" s="3217" customFormat="1" ht="14.25" customHeight="1">
      <c r="A170" s="3228" t="s">
        <v>25</v>
      </c>
      <c r="B170" s="3228" t="s">
        <v>3039</v>
      </c>
      <c r="C170" s="3228"/>
      <c r="D170" s="3228"/>
      <c r="E170" s="3228"/>
      <c r="F170" s="3228">
        <v>2880</v>
      </c>
      <c r="G170" s="3228"/>
    </row>
    <row r="171" spans="1:7" s="3217" customFormat="1" ht="14.25" customHeight="1">
      <c r="A171" s="3228" t="s">
        <v>25</v>
      </c>
      <c r="B171" s="3228" t="s">
        <v>3042</v>
      </c>
      <c r="C171" s="3228"/>
      <c r="D171" s="3228"/>
      <c r="E171" s="3228"/>
      <c r="F171" s="3228">
        <v>2880</v>
      </c>
      <c r="G171" s="3228"/>
    </row>
    <row r="172" spans="1:7" s="3217" customFormat="1" ht="14.25" customHeight="1">
      <c r="A172" s="3228" t="s">
        <v>25</v>
      </c>
      <c r="B172" s="3228" t="s">
        <v>3044</v>
      </c>
      <c r="C172" s="3228"/>
      <c r="D172" s="3228"/>
      <c r="E172" s="3228"/>
      <c r="F172" s="3228">
        <v>2880</v>
      </c>
      <c r="G172" s="3228"/>
    </row>
    <row r="173" spans="1:7" s="3217" customFormat="1" ht="14.25" customHeight="1">
      <c r="A173" s="3228" t="s">
        <v>25</v>
      </c>
      <c r="B173" s="3228" t="s">
        <v>3046</v>
      </c>
      <c r="C173" s="3228"/>
      <c r="D173" s="3228"/>
      <c r="E173" s="3228"/>
      <c r="F173" s="3228">
        <v>2150</v>
      </c>
      <c r="G173" s="3228"/>
    </row>
    <row r="174" spans="1:7" s="3217" customFormat="1" ht="14.25" customHeight="1">
      <c r="A174" s="3228" t="s">
        <v>25</v>
      </c>
      <c r="B174" s="3228" t="s">
        <v>3048</v>
      </c>
      <c r="C174" s="3228"/>
      <c r="D174" s="3228"/>
      <c r="E174" s="3228"/>
      <c r="F174" s="3228">
        <v>2030</v>
      </c>
      <c r="G174" s="3228"/>
    </row>
    <row r="175" spans="1:7" s="3217" customFormat="1" ht="14.25" customHeight="1">
      <c r="A175" s="3228" t="s">
        <v>25</v>
      </c>
      <c r="B175" s="3228" t="s">
        <v>3050</v>
      </c>
      <c r="C175" s="3228"/>
      <c r="D175" s="3228"/>
      <c r="E175" s="3228"/>
      <c r="F175" s="3228">
        <v>2780</v>
      </c>
      <c r="G175" s="3228"/>
    </row>
    <row r="176" spans="1:7" s="3217" customFormat="1" ht="14.25" customHeight="1">
      <c r="A176" s="3228" t="s">
        <v>25</v>
      </c>
      <c r="B176" s="3228" t="s">
        <v>3052</v>
      </c>
      <c r="C176" s="3228"/>
      <c r="D176" s="3228"/>
      <c r="E176" s="3228"/>
      <c r="F176" s="3228">
        <v>2780</v>
      </c>
      <c r="G176" s="3228"/>
    </row>
    <row r="177" spans="1:7" s="3217" customFormat="1" ht="14.25" customHeight="1">
      <c r="A177" s="3228" t="s">
        <v>25</v>
      </c>
      <c r="B177" s="3228" t="s">
        <v>3084</v>
      </c>
      <c r="C177" s="3228"/>
      <c r="D177" s="3228"/>
      <c r="E177" s="3228"/>
      <c r="F177" s="3228">
        <v>2780</v>
      </c>
      <c r="G177" s="3228"/>
    </row>
    <row r="178" spans="1:7" s="3217" customFormat="1" ht="14.25" customHeight="1">
      <c r="A178" s="3228" t="s">
        <v>25</v>
      </c>
      <c r="B178" s="3228" t="s">
        <v>3085</v>
      </c>
      <c r="C178" s="3228"/>
      <c r="D178" s="3228"/>
      <c r="E178" s="3228"/>
      <c r="F178" s="3228">
        <v>2060</v>
      </c>
      <c r="G178" s="3228"/>
    </row>
    <row r="179" spans="1:7" s="3217" customFormat="1" ht="14.25" customHeight="1">
      <c r="A179" s="3228" t="s">
        <v>25</v>
      </c>
      <c r="B179" s="3228" t="s">
        <v>3086</v>
      </c>
      <c r="C179" s="3228"/>
      <c r="D179" s="3228"/>
      <c r="E179" s="3228"/>
      <c r="F179" s="3228">
        <v>2120</v>
      </c>
      <c r="G179" s="3228"/>
    </row>
    <row r="180" spans="1:7" s="3217" customFormat="1" ht="14.25" customHeight="1">
      <c r="A180" s="3228" t="s">
        <v>25</v>
      </c>
      <c r="B180" s="3228" t="s">
        <v>3058</v>
      </c>
      <c r="C180" s="3228"/>
      <c r="D180" s="3228"/>
      <c r="E180" s="3228"/>
      <c r="F180" s="3228">
        <v>2340</v>
      </c>
      <c r="G180" s="3228"/>
    </row>
    <row r="181" spans="1:7" s="3217" customFormat="1" ht="14.25" customHeight="1">
      <c r="A181" s="3228" t="s">
        <v>25</v>
      </c>
      <c r="B181" s="3228" t="s">
        <v>3059</v>
      </c>
      <c r="C181" s="3228"/>
      <c r="D181" s="3228"/>
      <c r="E181" s="3228"/>
      <c r="F181" s="3228">
        <v>2340</v>
      </c>
      <c r="G181" s="3228"/>
    </row>
    <row r="182" spans="1:7" s="3217" customFormat="1" ht="14.25" customHeight="1">
      <c r="A182" s="3228" t="s">
        <v>25</v>
      </c>
      <c r="B182" s="3228" t="s">
        <v>3060</v>
      </c>
      <c r="C182" s="3228"/>
      <c r="D182" s="3228"/>
      <c r="E182" s="3228"/>
      <c r="F182" s="3228">
        <v>2340</v>
      </c>
      <c r="G182" s="3228"/>
    </row>
    <row r="183" spans="1:7" s="3217" customFormat="1" ht="14.25" customHeight="1">
      <c r="A183" s="3228" t="s">
        <v>25</v>
      </c>
      <c r="B183" s="3228" t="s">
        <v>3061</v>
      </c>
      <c r="C183" s="3228"/>
      <c r="D183" s="3228"/>
      <c r="E183" s="3228"/>
      <c r="F183" s="3228">
        <v>2340</v>
      </c>
      <c r="G183" s="3228"/>
    </row>
    <row r="184" spans="1:7" s="3217" customFormat="1" ht="14.25" customHeight="1">
      <c r="A184" s="3228" t="s">
        <v>25</v>
      </c>
      <c r="B184" s="3228" t="s">
        <v>3062</v>
      </c>
      <c r="C184" s="3228"/>
      <c r="D184" s="3228"/>
      <c r="E184" s="3228"/>
      <c r="F184" s="3228">
        <v>2340</v>
      </c>
      <c r="G184" s="3228"/>
    </row>
    <row r="185" spans="1:7" s="3217" customFormat="1" ht="14.25" customHeight="1">
      <c r="A185" s="3228" t="s">
        <v>25</v>
      </c>
      <c r="B185" s="3228" t="s">
        <v>3063</v>
      </c>
      <c r="C185" s="3228"/>
      <c r="D185" s="3228"/>
      <c r="E185" s="3228"/>
      <c r="F185" s="3228">
        <v>2530</v>
      </c>
      <c r="G185" s="3228"/>
    </row>
    <row r="186" spans="1:7" s="3217" customFormat="1" ht="14.25" customHeight="1">
      <c r="A186" s="3228" t="s">
        <v>25</v>
      </c>
      <c r="B186" s="3228" t="s">
        <v>3064</v>
      </c>
      <c r="C186" s="3228"/>
      <c r="D186" s="3228"/>
      <c r="E186" s="3228"/>
      <c r="F186" s="3228">
        <v>2550</v>
      </c>
      <c r="G186" s="3228"/>
    </row>
    <row r="187" spans="1:7" s="3217" customFormat="1" ht="14.25" customHeight="1">
      <c r="A187" s="3228" t="s">
        <v>25</v>
      </c>
      <c r="B187" s="3228" t="s">
        <v>3065</v>
      </c>
      <c r="C187" s="3228"/>
      <c r="D187" s="3228"/>
      <c r="E187" s="3228"/>
      <c r="F187" s="3228">
        <v>2070</v>
      </c>
      <c r="G187" s="3228"/>
    </row>
    <row r="188" spans="1:7" s="3217" customFormat="1" ht="14.25" customHeight="1">
      <c r="A188" s="3228" t="s">
        <v>25</v>
      </c>
      <c r="B188" s="3228" t="s">
        <v>3066</v>
      </c>
      <c r="C188" s="3228"/>
      <c r="D188" s="3228"/>
      <c r="E188" s="3228"/>
      <c r="F188" s="3228">
        <v>2340</v>
      </c>
      <c r="G188" s="3228"/>
    </row>
    <row r="189" spans="1:7" s="3217" customFormat="1" ht="14.25" customHeight="1" thickBot="1">
      <c r="A189" s="3236" t="s">
        <v>25</v>
      </c>
      <c r="B189" s="3239" t="s">
        <v>3067</v>
      </c>
      <c r="C189" s="3239"/>
      <c r="D189" s="3239"/>
      <c r="E189" s="3239"/>
      <c r="F189" s="3239">
        <v>2050</v>
      </c>
      <c r="G189" s="3239"/>
    </row>
    <row r="190" spans="1:7" s="3217" customFormat="1" ht="14.25" customHeight="1">
      <c r="A190" s="3233" t="s">
        <v>300</v>
      </c>
      <c r="B190" s="3224" t="s">
        <v>3087</v>
      </c>
      <c r="C190" s="3224">
        <v>8830</v>
      </c>
      <c r="D190" s="3224">
        <v>8790</v>
      </c>
      <c r="E190" s="3224">
        <v>11630</v>
      </c>
      <c r="F190" s="3224">
        <v>1790</v>
      </c>
      <c r="G190" s="3240">
        <v>5550</v>
      </c>
    </row>
    <row r="191" spans="1:7" s="3217" customFormat="1" ht="14.25" customHeight="1">
      <c r="A191" s="3228" t="s">
        <v>300</v>
      </c>
      <c r="B191" s="3228" t="s">
        <v>129</v>
      </c>
      <c r="C191" s="3228">
        <v>9780</v>
      </c>
      <c r="D191" s="3228">
        <v>9710</v>
      </c>
      <c r="E191" s="3228">
        <v>12550</v>
      </c>
      <c r="F191" s="3228">
        <v>1980</v>
      </c>
      <c r="G191" s="3241">
        <v>6130</v>
      </c>
    </row>
    <row r="192" spans="1:7" s="3217" customFormat="1" ht="14.25" customHeight="1">
      <c r="A192" s="3228" t="s">
        <v>300</v>
      </c>
      <c r="B192" s="3228" t="s">
        <v>138</v>
      </c>
      <c r="C192" s="3228">
        <v>8180</v>
      </c>
      <c r="D192" s="3228">
        <v>8140</v>
      </c>
      <c r="E192" s="3228">
        <v>10870</v>
      </c>
      <c r="F192" s="3228">
        <v>1690</v>
      </c>
      <c r="G192" s="3241">
        <v>5140</v>
      </c>
    </row>
    <row r="193" spans="1:7" s="3217" customFormat="1" ht="14.25" customHeight="1">
      <c r="A193" s="3228" t="s">
        <v>300</v>
      </c>
      <c r="B193" s="3228" t="s">
        <v>147</v>
      </c>
      <c r="C193" s="3228">
        <v>8440</v>
      </c>
      <c r="D193" s="3228">
        <v>8390</v>
      </c>
      <c r="E193" s="3228">
        <v>11210</v>
      </c>
      <c r="F193" s="3228">
        <v>1600</v>
      </c>
      <c r="G193" s="3241">
        <v>5300</v>
      </c>
    </row>
    <row r="194" spans="1:7" s="3217" customFormat="1" ht="14.25" customHeight="1">
      <c r="A194" s="3228" t="s">
        <v>300</v>
      </c>
      <c r="B194" s="3228" t="s">
        <v>156</v>
      </c>
      <c r="C194" s="3228">
        <v>8780</v>
      </c>
      <c r="D194" s="3228">
        <v>8730</v>
      </c>
      <c r="E194" s="3228">
        <v>11550</v>
      </c>
      <c r="F194" s="3228">
        <v>1660</v>
      </c>
      <c r="G194" s="3241">
        <v>5520</v>
      </c>
    </row>
    <row r="195" spans="1:7" s="3217" customFormat="1" ht="14.25" customHeight="1">
      <c r="A195" s="3228" t="s">
        <v>300</v>
      </c>
      <c r="B195" s="3228" t="s">
        <v>163</v>
      </c>
      <c r="C195" s="3228">
        <v>8720</v>
      </c>
      <c r="D195" s="3228">
        <v>8670</v>
      </c>
      <c r="E195" s="3228">
        <v>11450</v>
      </c>
      <c r="F195" s="3228">
        <v>1720</v>
      </c>
      <c r="G195" s="3241">
        <v>5480</v>
      </c>
    </row>
    <row r="196" spans="1:7" s="3217" customFormat="1" ht="14.25" customHeight="1">
      <c r="A196" s="3228" t="s">
        <v>300</v>
      </c>
      <c r="B196" s="3228" t="s">
        <v>169</v>
      </c>
      <c r="C196" s="3228">
        <v>8460</v>
      </c>
      <c r="D196" s="3228">
        <v>8410</v>
      </c>
      <c r="E196" s="3228">
        <v>11230</v>
      </c>
      <c r="F196" s="3228">
        <v>1730</v>
      </c>
      <c r="G196" s="3241">
        <v>5310</v>
      </c>
    </row>
    <row r="197" spans="1:7" s="3217" customFormat="1" ht="14.25" customHeight="1">
      <c r="A197" s="3228" t="s">
        <v>300</v>
      </c>
      <c r="B197" s="3228" t="s">
        <v>176</v>
      </c>
      <c r="C197" s="3228">
        <v>8790</v>
      </c>
      <c r="D197" s="3228">
        <v>8730</v>
      </c>
      <c r="E197" s="3228">
        <v>11560</v>
      </c>
      <c r="F197" s="3228">
        <v>1750</v>
      </c>
      <c r="G197" s="3241">
        <v>5520</v>
      </c>
    </row>
    <row r="198" spans="1:7" s="3217" customFormat="1" ht="14.25" customHeight="1">
      <c r="A198" s="3228" t="s">
        <v>300</v>
      </c>
      <c r="B198" s="3228" t="s">
        <v>186</v>
      </c>
      <c r="C198" s="3228">
        <v>8720</v>
      </c>
      <c r="D198" s="3228">
        <v>8680</v>
      </c>
      <c r="E198" s="3228">
        <v>11470</v>
      </c>
      <c r="F198" s="3228"/>
      <c r="G198" s="3241">
        <v>5480</v>
      </c>
    </row>
    <row r="199" spans="1:7" s="3217" customFormat="1" ht="14.25" customHeight="1">
      <c r="A199" s="3228" t="s">
        <v>300</v>
      </c>
      <c r="B199" s="3228" t="s">
        <v>3088</v>
      </c>
      <c r="C199" s="3228">
        <v>8690</v>
      </c>
      <c r="D199" s="3228">
        <v>8630</v>
      </c>
      <c r="E199" s="3228">
        <v>11350</v>
      </c>
      <c r="F199" s="3228">
        <v>1600</v>
      </c>
      <c r="G199" s="3241">
        <v>5450</v>
      </c>
    </row>
    <row r="200" spans="1:7" s="3217" customFormat="1" ht="14.25" customHeight="1">
      <c r="A200" s="3228" t="s">
        <v>300</v>
      </c>
      <c r="B200" s="3228" t="s">
        <v>2899</v>
      </c>
      <c r="C200" s="3228"/>
      <c r="D200" s="3228"/>
      <c r="E200" s="3228"/>
      <c r="F200" s="3228">
        <v>1510</v>
      </c>
      <c r="G200" s="3241"/>
    </row>
    <row r="201" spans="1:7" s="3217" customFormat="1" ht="14.25" customHeight="1">
      <c r="A201" s="3228" t="s">
        <v>300</v>
      </c>
      <c r="B201" s="3228" t="s">
        <v>3089</v>
      </c>
      <c r="C201" s="3228">
        <v>8440</v>
      </c>
      <c r="D201" s="3228">
        <v>8390</v>
      </c>
      <c r="E201" s="3228">
        <v>10930</v>
      </c>
      <c r="F201" s="3228">
        <v>1500</v>
      </c>
      <c r="G201" s="3241">
        <v>5300</v>
      </c>
    </row>
    <row r="202" spans="1:7" s="3217" customFormat="1" ht="14.25" customHeight="1">
      <c r="A202" s="3228" t="s">
        <v>300</v>
      </c>
      <c r="B202" s="3228" t="s">
        <v>236</v>
      </c>
      <c r="C202" s="3228">
        <v>8530</v>
      </c>
      <c r="D202" s="3228">
        <v>8490</v>
      </c>
      <c r="E202" s="3228">
        <v>11160</v>
      </c>
      <c r="F202" s="3228">
        <v>1580</v>
      </c>
      <c r="G202" s="3241">
        <v>5360</v>
      </c>
    </row>
    <row r="203" spans="1:7" s="3217" customFormat="1" ht="14.25" customHeight="1">
      <c r="A203" s="3228" t="s">
        <v>300</v>
      </c>
      <c r="B203" s="3228" t="s">
        <v>3090</v>
      </c>
      <c r="C203" s="3228">
        <v>8130</v>
      </c>
      <c r="D203" s="3228">
        <v>8070</v>
      </c>
      <c r="E203" s="3228">
        <v>10820</v>
      </c>
      <c r="F203" s="3228">
        <v>1690</v>
      </c>
      <c r="G203" s="3241">
        <v>5100</v>
      </c>
    </row>
    <row r="204" spans="1:7" s="3217" customFormat="1" ht="14.25" customHeight="1">
      <c r="A204" s="3228" t="s">
        <v>300</v>
      </c>
      <c r="B204" s="3228" t="s">
        <v>2910</v>
      </c>
      <c r="C204" s="3228">
        <v>8350</v>
      </c>
      <c r="D204" s="3228">
        <v>8290</v>
      </c>
      <c r="E204" s="3228">
        <v>11080</v>
      </c>
      <c r="F204" s="3228">
        <v>1450</v>
      </c>
      <c r="G204" s="3241">
        <v>5240</v>
      </c>
    </row>
    <row r="205" spans="1:7" s="3217" customFormat="1" ht="14.25" customHeight="1">
      <c r="A205" s="3228" t="s">
        <v>300</v>
      </c>
      <c r="B205" s="3228" t="s">
        <v>2912</v>
      </c>
      <c r="C205" s="3228">
        <v>7190</v>
      </c>
      <c r="D205" s="3228">
        <v>7130</v>
      </c>
      <c r="E205" s="3228">
        <v>9490</v>
      </c>
      <c r="F205" s="3228">
        <v>1470</v>
      </c>
      <c r="G205" s="3241">
        <v>4510</v>
      </c>
    </row>
    <row r="206" spans="1:7" s="3217" customFormat="1" ht="14.25" customHeight="1">
      <c r="A206" s="3228" t="s">
        <v>300</v>
      </c>
      <c r="B206" s="3228" t="s">
        <v>2915</v>
      </c>
      <c r="C206" s="3228">
        <v>7000</v>
      </c>
      <c r="D206" s="3228">
        <v>6950</v>
      </c>
      <c r="E206" s="3228">
        <v>9170</v>
      </c>
      <c r="F206" s="3228">
        <v>1400</v>
      </c>
      <c r="G206" s="3241">
        <v>4380</v>
      </c>
    </row>
    <row r="207" spans="1:7" s="3217" customFormat="1" ht="14.25" customHeight="1">
      <c r="A207" s="3228" t="s">
        <v>300</v>
      </c>
      <c r="B207" s="3228" t="s">
        <v>2917</v>
      </c>
      <c r="C207" s="3228">
        <v>6950</v>
      </c>
      <c r="D207" s="3228">
        <v>6900</v>
      </c>
      <c r="E207" s="3228">
        <v>9110</v>
      </c>
      <c r="F207" s="3228">
        <v>1790</v>
      </c>
      <c r="G207" s="3241">
        <v>4360</v>
      </c>
    </row>
    <row r="208" spans="1:7" s="3217" customFormat="1" ht="14.25" customHeight="1">
      <c r="A208" s="3228" t="s">
        <v>300</v>
      </c>
      <c r="B208" s="3228" t="s">
        <v>3091</v>
      </c>
      <c r="C208" s="3228">
        <v>9470</v>
      </c>
      <c r="D208" s="3228">
        <v>9410</v>
      </c>
      <c r="E208" s="3228">
        <v>12330</v>
      </c>
      <c r="F208" s="3228">
        <v>1770</v>
      </c>
      <c r="G208" s="3241">
        <v>5940</v>
      </c>
    </row>
    <row r="209" spans="1:7" s="3217" customFormat="1" ht="14.25" customHeight="1">
      <c r="A209" s="3228" t="s">
        <v>300</v>
      </c>
      <c r="B209" s="3228" t="s">
        <v>260</v>
      </c>
      <c r="C209" s="3228">
        <v>8740</v>
      </c>
      <c r="D209" s="3228">
        <v>8700</v>
      </c>
      <c r="E209" s="3228">
        <v>11500</v>
      </c>
      <c r="F209" s="3228">
        <v>1730</v>
      </c>
      <c r="G209" s="3241">
        <v>5490</v>
      </c>
    </row>
    <row r="210" spans="1:7" s="3217" customFormat="1" ht="14.25" customHeight="1">
      <c r="A210" s="3228" t="s">
        <v>300</v>
      </c>
      <c r="B210" s="3228" t="s">
        <v>2927</v>
      </c>
      <c r="C210" s="3228">
        <v>8710</v>
      </c>
      <c r="D210" s="3228">
        <v>8660</v>
      </c>
      <c r="E210" s="3228">
        <v>11440</v>
      </c>
      <c r="F210" s="3228">
        <v>1740</v>
      </c>
      <c r="G210" s="3241">
        <v>5470</v>
      </c>
    </row>
    <row r="211" spans="1:7" s="3217" customFormat="1" ht="14.25" customHeight="1">
      <c r="A211" s="3228" t="s">
        <v>300</v>
      </c>
      <c r="B211" s="3228" t="s">
        <v>3092</v>
      </c>
      <c r="C211" s="3228">
        <v>9480</v>
      </c>
      <c r="D211" s="3228">
        <v>9430</v>
      </c>
      <c r="E211" s="3228">
        <v>12360</v>
      </c>
      <c r="F211" s="3228">
        <v>1820</v>
      </c>
      <c r="G211" s="3241">
        <v>5950</v>
      </c>
    </row>
    <row r="212" spans="1:7" s="3217" customFormat="1" ht="14.25" customHeight="1">
      <c r="A212" s="3228" t="s">
        <v>300</v>
      </c>
      <c r="B212" s="3228" t="s">
        <v>281</v>
      </c>
      <c r="C212" s="3228">
        <v>9070</v>
      </c>
      <c r="D212" s="3228">
        <v>9020</v>
      </c>
      <c r="E212" s="3228">
        <v>11720</v>
      </c>
      <c r="F212" s="3228">
        <v>1850</v>
      </c>
      <c r="G212" s="3241">
        <v>5700</v>
      </c>
    </row>
    <row r="213" spans="1:7" s="3217" customFormat="1" ht="14.25" customHeight="1">
      <c r="A213" s="3228" t="s">
        <v>300</v>
      </c>
      <c r="B213" s="3228" t="s">
        <v>284</v>
      </c>
      <c r="C213" s="3228">
        <v>9030</v>
      </c>
      <c r="D213" s="3228">
        <v>8980</v>
      </c>
      <c r="E213" s="3228">
        <v>11670</v>
      </c>
      <c r="F213" s="3228">
        <v>1690</v>
      </c>
      <c r="G213" s="3241">
        <v>5670</v>
      </c>
    </row>
    <row r="214" spans="1:7" s="3217" customFormat="1" ht="14.25" customHeight="1">
      <c r="A214" s="3228" t="s">
        <v>300</v>
      </c>
      <c r="B214" s="3228" t="s">
        <v>3093</v>
      </c>
      <c r="C214" s="3228">
        <v>8090</v>
      </c>
      <c r="D214" s="3228">
        <v>8030</v>
      </c>
      <c r="E214" s="3228">
        <v>10780</v>
      </c>
      <c r="F214" s="3228">
        <v>1570</v>
      </c>
      <c r="G214" s="3241">
        <v>5070</v>
      </c>
    </row>
    <row r="215" spans="1:7" s="3217" customFormat="1" ht="14.25" customHeight="1">
      <c r="A215" s="3228" t="s">
        <v>300</v>
      </c>
      <c r="B215" s="3228" t="s">
        <v>3094</v>
      </c>
      <c r="C215" s="3228">
        <v>7950</v>
      </c>
      <c r="D215" s="3228">
        <v>7900</v>
      </c>
      <c r="E215" s="3228">
        <v>10560</v>
      </c>
      <c r="F215" s="3228">
        <v>1630</v>
      </c>
      <c r="G215" s="3241">
        <v>4990</v>
      </c>
    </row>
    <row r="216" spans="1:7" s="3217" customFormat="1" ht="14.25" customHeight="1">
      <c r="A216" s="3228" t="s">
        <v>300</v>
      </c>
      <c r="B216" s="3228" t="s">
        <v>3095</v>
      </c>
      <c r="C216" s="3228">
        <v>8490</v>
      </c>
      <c r="D216" s="3228">
        <v>8440</v>
      </c>
      <c r="E216" s="3228">
        <v>11260</v>
      </c>
      <c r="F216" s="3228">
        <v>1690</v>
      </c>
      <c r="G216" s="3241">
        <v>5330</v>
      </c>
    </row>
    <row r="217" spans="1:7" s="3217" customFormat="1" ht="14.25" customHeight="1">
      <c r="A217" s="3228" t="s">
        <v>300</v>
      </c>
      <c r="B217" s="3228" t="s">
        <v>2960</v>
      </c>
      <c r="C217" s="3228">
        <v>8200</v>
      </c>
      <c r="D217" s="3228">
        <v>8150</v>
      </c>
      <c r="E217" s="3228">
        <v>10910</v>
      </c>
      <c r="F217" s="3228">
        <v>1670</v>
      </c>
      <c r="G217" s="3241">
        <v>5150</v>
      </c>
    </row>
    <row r="218" spans="1:7" s="3217" customFormat="1" ht="14.25" customHeight="1">
      <c r="A218" s="3228" t="s">
        <v>300</v>
      </c>
      <c r="B218" s="3228" t="s">
        <v>3096</v>
      </c>
      <c r="C218" s="3228"/>
      <c r="D218" s="3228"/>
      <c r="E218" s="3228"/>
      <c r="F218" s="3228">
        <v>2040</v>
      </c>
      <c r="G218" s="3241"/>
    </row>
    <row r="219" spans="1:7" s="3217" customFormat="1" ht="14.25" customHeight="1">
      <c r="A219" s="3228" t="s">
        <v>300</v>
      </c>
      <c r="B219" s="3228" t="s">
        <v>3097</v>
      </c>
      <c r="C219" s="3228"/>
      <c r="D219" s="3228"/>
      <c r="E219" s="3228"/>
      <c r="F219" s="3228">
        <v>2040</v>
      </c>
      <c r="G219" s="3241"/>
    </row>
    <row r="220" spans="1:7" s="3217" customFormat="1" ht="14.25" customHeight="1">
      <c r="A220" s="3228" t="s">
        <v>300</v>
      </c>
      <c r="B220" s="3228" t="s">
        <v>3098</v>
      </c>
      <c r="C220" s="3228"/>
      <c r="D220" s="3228"/>
      <c r="E220" s="3228"/>
      <c r="F220" s="3228">
        <v>2040</v>
      </c>
      <c r="G220" s="3241"/>
    </row>
    <row r="221" spans="1:7" s="3217" customFormat="1" ht="14.25" customHeight="1">
      <c r="A221" s="3228" t="s">
        <v>300</v>
      </c>
      <c r="B221" s="3228" t="s">
        <v>3099</v>
      </c>
      <c r="C221" s="3228"/>
      <c r="D221" s="3228"/>
      <c r="E221" s="3228"/>
      <c r="F221" s="3228">
        <v>2040</v>
      </c>
      <c r="G221" s="3241"/>
    </row>
    <row r="222" spans="1:7" s="3217" customFormat="1" ht="14.25" customHeight="1">
      <c r="A222" s="3228" t="s">
        <v>300</v>
      </c>
      <c r="B222" s="3228" t="s">
        <v>3100</v>
      </c>
      <c r="C222" s="3228"/>
      <c r="D222" s="3228"/>
      <c r="E222" s="3228"/>
      <c r="F222" s="3228">
        <v>2040</v>
      </c>
      <c r="G222" s="3241"/>
    </row>
    <row r="223" spans="1:7" s="3217" customFormat="1" ht="14.25" customHeight="1">
      <c r="A223" s="3228" t="s">
        <v>300</v>
      </c>
      <c r="B223" s="3228" t="s">
        <v>3101</v>
      </c>
      <c r="C223" s="3228"/>
      <c r="D223" s="3228"/>
      <c r="E223" s="3228"/>
      <c r="F223" s="3228">
        <v>1930</v>
      </c>
      <c r="G223" s="3241"/>
    </row>
    <row r="224" spans="1:7" s="3217" customFormat="1" ht="14.25" customHeight="1">
      <c r="A224" s="3228" t="s">
        <v>300</v>
      </c>
      <c r="B224" s="3228" t="s">
        <v>3102</v>
      </c>
      <c r="C224" s="3228"/>
      <c r="D224" s="3228"/>
      <c r="E224" s="3228"/>
      <c r="F224" s="3228">
        <v>1930</v>
      </c>
      <c r="G224" s="3241"/>
    </row>
    <row r="225" spans="1:7" s="3217" customFormat="1" ht="14.25" customHeight="1">
      <c r="A225" s="3228" t="s">
        <v>300</v>
      </c>
      <c r="B225" s="3228" t="s">
        <v>3103</v>
      </c>
      <c r="C225" s="3228"/>
      <c r="D225" s="3228"/>
      <c r="E225" s="3228"/>
      <c r="F225" s="3228">
        <v>1930</v>
      </c>
      <c r="G225" s="3241"/>
    </row>
    <row r="226" spans="1:7" s="3217" customFormat="1" ht="14.25" customHeight="1">
      <c r="A226" s="3228" t="s">
        <v>300</v>
      </c>
      <c r="B226" s="3228" t="s">
        <v>3104</v>
      </c>
      <c r="C226" s="3228"/>
      <c r="D226" s="3228"/>
      <c r="E226" s="3228"/>
      <c r="F226" s="3228">
        <v>1700</v>
      </c>
      <c r="G226" s="3241"/>
    </row>
    <row r="227" spans="1:7" s="3217" customFormat="1" ht="14.25" customHeight="1">
      <c r="A227" s="3228" t="s">
        <v>300</v>
      </c>
      <c r="B227" s="3228" t="s">
        <v>3105</v>
      </c>
      <c r="C227" s="3228"/>
      <c r="D227" s="3228"/>
      <c r="E227" s="3228"/>
      <c r="F227" s="3228">
        <v>1520</v>
      </c>
      <c r="G227" s="3241"/>
    </row>
    <row r="228" spans="1:7" s="3217" customFormat="1" ht="14.25" customHeight="1">
      <c r="A228" s="3228" t="s">
        <v>300</v>
      </c>
      <c r="B228" s="3228" t="s">
        <v>3106</v>
      </c>
      <c r="C228" s="3228"/>
      <c r="D228" s="3228"/>
      <c r="E228" s="3228"/>
      <c r="F228" s="3228">
        <v>1520</v>
      </c>
      <c r="G228" s="3241"/>
    </row>
    <row r="229" spans="1:7" s="3217" customFormat="1" ht="14.25" customHeight="1">
      <c r="A229" s="3228" t="s">
        <v>300</v>
      </c>
      <c r="B229" s="3228" t="s">
        <v>3023</v>
      </c>
      <c r="C229" s="3228"/>
      <c r="D229" s="3228"/>
      <c r="E229" s="3228"/>
      <c r="F229" s="3228">
        <v>1520</v>
      </c>
      <c r="G229" s="3241"/>
    </row>
    <row r="230" spans="1:7" s="3217" customFormat="1" ht="14.25" customHeight="1">
      <c r="A230" s="3228" t="s">
        <v>300</v>
      </c>
      <c r="B230" s="3228" t="s">
        <v>3107</v>
      </c>
      <c r="C230" s="3228"/>
      <c r="D230" s="3228"/>
      <c r="E230" s="3228"/>
      <c r="F230" s="3228">
        <v>1820</v>
      </c>
      <c r="G230" s="3241"/>
    </row>
    <row r="231" spans="1:7" s="3217" customFormat="1" ht="14.25" customHeight="1">
      <c r="A231" s="3228" t="s">
        <v>300</v>
      </c>
      <c r="B231" s="3228" t="s">
        <v>3108</v>
      </c>
      <c r="C231" s="3228"/>
      <c r="D231" s="3228"/>
      <c r="E231" s="3228"/>
      <c r="F231" s="3228">
        <v>1760</v>
      </c>
      <c r="G231" s="3241"/>
    </row>
    <row r="232" spans="1:7" s="3217" customFormat="1" ht="14.25" customHeight="1">
      <c r="A232" s="3228" t="s">
        <v>300</v>
      </c>
      <c r="B232" s="3228" t="s">
        <v>3109</v>
      </c>
      <c r="C232" s="3228"/>
      <c r="D232" s="3228"/>
      <c r="E232" s="3228"/>
      <c r="F232" s="3228">
        <v>1840</v>
      </c>
      <c r="G232" s="3241"/>
    </row>
    <row r="233" spans="1:7" s="3217" customFormat="1" ht="14.25" customHeight="1" thickBot="1">
      <c r="A233" s="3242" t="s">
        <v>300</v>
      </c>
      <c r="B233" s="3235" t="s">
        <v>3040</v>
      </c>
      <c r="C233" s="3235"/>
      <c r="D233" s="3235"/>
      <c r="E233" s="3235"/>
      <c r="F233" s="3235">
        <v>1770</v>
      </c>
      <c r="G233" s="3243"/>
    </row>
    <row r="234" spans="1:7" s="3217" customFormat="1" ht="14.25" customHeight="1">
      <c r="A234" s="3233" t="s">
        <v>301</v>
      </c>
      <c r="B234" s="3224" t="s">
        <v>3110</v>
      </c>
      <c r="C234" s="3228">
        <v>6980</v>
      </c>
      <c r="D234" s="3228">
        <v>6970</v>
      </c>
      <c r="E234" s="3228">
        <v>8720</v>
      </c>
      <c r="F234" s="3228">
        <v>1350</v>
      </c>
      <c r="G234" s="3228">
        <v>4280</v>
      </c>
    </row>
    <row r="235" spans="1:7" s="3217" customFormat="1" ht="14.25" customHeight="1">
      <c r="A235" s="3228" t="s">
        <v>301</v>
      </c>
      <c r="B235" s="3228" t="s">
        <v>130</v>
      </c>
      <c r="C235" s="3228">
        <v>7620</v>
      </c>
      <c r="D235" s="3228">
        <v>7580</v>
      </c>
      <c r="E235" s="3228">
        <v>9360</v>
      </c>
      <c r="F235" s="3228">
        <v>1490</v>
      </c>
      <c r="G235" s="3228">
        <v>4650</v>
      </c>
    </row>
    <row r="236" spans="1:7" s="3217" customFormat="1" ht="14.25" customHeight="1">
      <c r="A236" s="3228" t="s">
        <v>301</v>
      </c>
      <c r="B236" s="3228" t="s">
        <v>139</v>
      </c>
      <c r="C236" s="3228">
        <v>6650</v>
      </c>
      <c r="D236" s="3228">
        <v>6630</v>
      </c>
      <c r="E236" s="3228">
        <v>8330</v>
      </c>
      <c r="F236" s="3228">
        <v>1250</v>
      </c>
      <c r="G236" s="3228">
        <v>4070</v>
      </c>
    </row>
    <row r="237" spans="1:7" s="3217" customFormat="1" ht="14.25" customHeight="1">
      <c r="A237" s="3228" t="s">
        <v>301</v>
      </c>
      <c r="B237" s="3228" t="s">
        <v>148</v>
      </c>
      <c r="C237" s="3228">
        <v>5850</v>
      </c>
      <c r="D237" s="3228">
        <v>5820</v>
      </c>
      <c r="E237" s="3228">
        <v>7260</v>
      </c>
      <c r="F237" s="3228">
        <v>1140</v>
      </c>
      <c r="G237" s="3228">
        <v>3570</v>
      </c>
    </row>
    <row r="238" spans="1:7" s="3217" customFormat="1" ht="14.25" customHeight="1">
      <c r="A238" s="3228" t="s">
        <v>301</v>
      </c>
      <c r="B238" s="3228" t="s">
        <v>2881</v>
      </c>
      <c r="C238" s="3228">
        <v>6920</v>
      </c>
      <c r="D238" s="3228">
        <v>6890</v>
      </c>
      <c r="E238" s="3228">
        <v>8640</v>
      </c>
      <c r="F238" s="3228">
        <v>1310</v>
      </c>
      <c r="G238" s="3228">
        <v>4230</v>
      </c>
    </row>
    <row r="239" spans="1:7" s="3217" customFormat="1" ht="14.25" customHeight="1">
      <c r="A239" s="3228" t="s">
        <v>301</v>
      </c>
      <c r="B239" s="3228" t="s">
        <v>3111</v>
      </c>
      <c r="C239" s="3228">
        <v>6780</v>
      </c>
      <c r="D239" s="3228">
        <v>6750</v>
      </c>
      <c r="E239" s="3228">
        <v>8440</v>
      </c>
      <c r="F239" s="3228">
        <v>1160</v>
      </c>
      <c r="G239" s="3228">
        <v>4140</v>
      </c>
    </row>
    <row r="240" spans="1:7" s="3217" customFormat="1" ht="14.25" customHeight="1">
      <c r="A240" s="3228" t="s">
        <v>301</v>
      </c>
      <c r="B240" s="3228" t="s">
        <v>3112</v>
      </c>
      <c r="C240" s="3228">
        <v>5420</v>
      </c>
      <c r="D240" s="3228">
        <v>5380</v>
      </c>
      <c r="E240" s="3228">
        <v>6640</v>
      </c>
      <c r="F240" s="3228">
        <v>1020</v>
      </c>
      <c r="G240" s="3228">
        <v>3300</v>
      </c>
    </row>
    <row r="241" spans="1:7" s="3217" customFormat="1" ht="14.25" customHeight="1">
      <c r="A241" s="3228" t="s">
        <v>301</v>
      </c>
      <c r="B241" s="3228" t="s">
        <v>3113</v>
      </c>
      <c r="C241" s="3228">
        <v>6660</v>
      </c>
      <c r="D241" s="3228">
        <v>6640</v>
      </c>
      <c r="E241" s="3228">
        <v>8340</v>
      </c>
      <c r="F241" s="3228">
        <v>1130</v>
      </c>
      <c r="G241" s="3228">
        <v>4080</v>
      </c>
    </row>
    <row r="242" spans="1:7" s="3217" customFormat="1" ht="14.25" customHeight="1">
      <c r="A242" s="3228" t="s">
        <v>301</v>
      </c>
      <c r="B242" s="3228" t="s">
        <v>177</v>
      </c>
      <c r="C242" s="3228">
        <v>6580</v>
      </c>
      <c r="D242" s="3228">
        <v>6550</v>
      </c>
      <c r="E242" s="3228">
        <v>8090</v>
      </c>
      <c r="F242" s="3228">
        <v>1240</v>
      </c>
      <c r="G242" s="3228">
        <v>4020</v>
      </c>
    </row>
    <row r="243" spans="1:7" s="3217" customFormat="1" ht="14.25" customHeight="1">
      <c r="A243" s="3228" t="s">
        <v>301</v>
      </c>
      <c r="B243" s="3228" t="s">
        <v>187</v>
      </c>
      <c r="C243" s="3228">
        <v>6000</v>
      </c>
      <c r="D243" s="3228">
        <v>5970</v>
      </c>
      <c r="E243" s="3228">
        <v>7370</v>
      </c>
      <c r="F243" s="3228">
        <v>1070</v>
      </c>
      <c r="G243" s="3228">
        <v>3670</v>
      </c>
    </row>
    <row r="244" spans="1:7" s="3217" customFormat="1" ht="14.25" customHeight="1">
      <c r="A244" s="3228" t="s">
        <v>301</v>
      </c>
      <c r="B244" s="3228" t="s">
        <v>3114</v>
      </c>
      <c r="C244" s="3228">
        <v>5840</v>
      </c>
      <c r="D244" s="3228">
        <v>5810</v>
      </c>
      <c r="E244" s="3228">
        <v>7240</v>
      </c>
      <c r="F244" s="3228">
        <v>1100</v>
      </c>
      <c r="G244" s="3228">
        <v>3560</v>
      </c>
    </row>
    <row r="245" spans="1:7" s="3217" customFormat="1" ht="14.25" customHeight="1">
      <c r="A245" s="3228" t="s">
        <v>301</v>
      </c>
      <c r="B245" s="3228" t="s">
        <v>202</v>
      </c>
      <c r="C245" s="3228">
        <v>6040</v>
      </c>
      <c r="D245" s="3228">
        <v>6000</v>
      </c>
      <c r="E245" s="3228">
        <v>7420</v>
      </c>
      <c r="F245" s="3228">
        <v>1140</v>
      </c>
      <c r="G245" s="3228">
        <v>3690</v>
      </c>
    </row>
    <row r="246" spans="1:7" s="3217" customFormat="1" ht="14.25" customHeight="1">
      <c r="A246" s="3228" t="s">
        <v>301</v>
      </c>
      <c r="B246" s="3228" t="s">
        <v>209</v>
      </c>
      <c r="C246" s="3228">
        <v>5890</v>
      </c>
      <c r="D246" s="3228">
        <v>5860</v>
      </c>
      <c r="E246" s="3228">
        <v>7300</v>
      </c>
      <c r="F246" s="3228">
        <v>1110</v>
      </c>
      <c r="G246" s="3228">
        <v>3590</v>
      </c>
    </row>
    <row r="247" spans="1:7" s="3217" customFormat="1" ht="14.25" customHeight="1">
      <c r="A247" s="3228" t="s">
        <v>301</v>
      </c>
      <c r="B247" s="3228" t="s">
        <v>3115</v>
      </c>
      <c r="C247" s="3228">
        <v>6480</v>
      </c>
      <c r="D247" s="3228">
        <v>6450</v>
      </c>
      <c r="E247" s="3228">
        <v>8010</v>
      </c>
      <c r="F247" s="3228">
        <v>1170</v>
      </c>
      <c r="G247" s="3228">
        <v>3960</v>
      </c>
    </row>
    <row r="248" spans="1:7" s="3217" customFormat="1" ht="14.25" customHeight="1">
      <c r="A248" s="3228" t="s">
        <v>301</v>
      </c>
      <c r="B248" s="3228" t="s">
        <v>223</v>
      </c>
      <c r="C248" s="3228">
        <v>6860</v>
      </c>
      <c r="D248" s="3228">
        <v>6840</v>
      </c>
      <c r="E248" s="3228">
        <v>8520</v>
      </c>
      <c r="F248" s="3228">
        <v>1240</v>
      </c>
      <c r="G248" s="3228">
        <v>4200</v>
      </c>
    </row>
    <row r="249" spans="1:7" s="3217" customFormat="1" ht="14.25" customHeight="1">
      <c r="A249" s="3228" t="s">
        <v>301</v>
      </c>
      <c r="B249" s="3228" t="s">
        <v>3116</v>
      </c>
      <c r="C249" s="3228">
        <v>7180</v>
      </c>
      <c r="D249" s="3228">
        <v>7140</v>
      </c>
      <c r="E249" s="3228">
        <v>8900</v>
      </c>
      <c r="F249" s="3228">
        <v>1350</v>
      </c>
      <c r="G249" s="3228">
        <v>4380</v>
      </c>
    </row>
    <row r="250" spans="1:7" s="3217" customFormat="1" ht="14.25" customHeight="1">
      <c r="A250" s="3228" t="s">
        <v>301</v>
      </c>
      <c r="B250" s="3228" t="s">
        <v>237</v>
      </c>
      <c r="C250" s="3228">
        <v>6880</v>
      </c>
      <c r="D250" s="3228">
        <v>6860</v>
      </c>
      <c r="E250" s="3228">
        <v>8550</v>
      </c>
      <c r="F250" s="3228">
        <v>1220</v>
      </c>
      <c r="G250" s="3228">
        <v>4210</v>
      </c>
    </row>
    <row r="251" spans="1:7" s="3217" customFormat="1" ht="14.25" customHeight="1">
      <c r="A251" s="3228" t="s">
        <v>301</v>
      </c>
      <c r="B251" s="3228" t="s">
        <v>245</v>
      </c>
      <c r="C251" s="3228"/>
      <c r="D251" s="3228"/>
      <c r="E251" s="3228"/>
      <c r="F251" s="3228">
        <v>1100</v>
      </c>
      <c r="G251" s="3228"/>
    </row>
    <row r="252" spans="1:7" s="3217" customFormat="1" ht="14.25" customHeight="1">
      <c r="A252" s="3228" t="s">
        <v>301</v>
      </c>
      <c r="B252" s="3228" t="s">
        <v>3117</v>
      </c>
      <c r="C252" s="3228">
        <v>7240</v>
      </c>
      <c r="D252" s="3228">
        <v>7200</v>
      </c>
      <c r="E252" s="3228">
        <v>9040</v>
      </c>
      <c r="F252" s="3228">
        <v>1380</v>
      </c>
      <c r="G252" s="3228">
        <v>4420</v>
      </c>
    </row>
    <row r="253" spans="1:7" s="3217" customFormat="1" ht="14.25" customHeight="1">
      <c r="A253" s="3228" t="s">
        <v>301</v>
      </c>
      <c r="B253" s="3228" t="s">
        <v>279</v>
      </c>
      <c r="C253" s="3228">
        <v>6670</v>
      </c>
      <c r="D253" s="3228">
        <v>6650</v>
      </c>
      <c r="E253" s="3228">
        <v>8350</v>
      </c>
      <c r="F253" s="3228">
        <v>1260</v>
      </c>
      <c r="G253" s="3228">
        <v>4080</v>
      </c>
    </row>
    <row r="254" spans="1:7" s="3217" customFormat="1" ht="14.25" customHeight="1">
      <c r="A254" s="3228" t="s">
        <v>301</v>
      </c>
      <c r="B254" s="3228" t="s">
        <v>282</v>
      </c>
      <c r="C254" s="3228">
        <v>7630</v>
      </c>
      <c r="D254" s="3228">
        <v>7590</v>
      </c>
      <c r="E254" s="3228">
        <v>9380</v>
      </c>
      <c r="F254" s="3228">
        <v>1320</v>
      </c>
      <c r="G254" s="3228">
        <v>4660</v>
      </c>
    </row>
    <row r="255" spans="1:7" s="3217" customFormat="1" ht="14.25" customHeight="1">
      <c r="A255" s="3228" t="s">
        <v>301</v>
      </c>
      <c r="B255" s="3228" t="s">
        <v>285</v>
      </c>
      <c r="C255" s="3228">
        <v>6940</v>
      </c>
      <c r="D255" s="3228">
        <v>6890</v>
      </c>
      <c r="E255" s="3228">
        <v>8650</v>
      </c>
      <c r="F255" s="3228">
        <v>1210</v>
      </c>
      <c r="G255" s="3228">
        <v>4230</v>
      </c>
    </row>
    <row r="256" spans="1:7" s="3217" customFormat="1" ht="14.25" customHeight="1">
      <c r="A256" s="3228" t="s">
        <v>301</v>
      </c>
      <c r="B256" s="3228" t="s">
        <v>3118</v>
      </c>
      <c r="C256" s="3228">
        <v>7520</v>
      </c>
      <c r="D256" s="3228">
        <v>7490</v>
      </c>
      <c r="E256" s="3228">
        <v>9240</v>
      </c>
      <c r="F256" s="3228">
        <v>1270</v>
      </c>
      <c r="G256" s="3228">
        <v>4590</v>
      </c>
    </row>
    <row r="257" spans="1:7" s="3217" customFormat="1" ht="14.25" customHeight="1">
      <c r="A257" s="3228" t="s">
        <v>301</v>
      </c>
      <c r="B257" s="3228" t="s">
        <v>271</v>
      </c>
      <c r="C257" s="3228">
        <v>6280</v>
      </c>
      <c r="D257" s="3228">
        <v>6230</v>
      </c>
      <c r="E257" s="3228">
        <v>7740</v>
      </c>
      <c r="F257" s="3228">
        <v>1080</v>
      </c>
      <c r="G257" s="3228">
        <v>3830</v>
      </c>
    </row>
    <row r="258" spans="1:7" s="3217" customFormat="1" ht="14.25" customHeight="1">
      <c r="A258" s="3228" t="s">
        <v>301</v>
      </c>
      <c r="B258" s="3228" t="s">
        <v>2943</v>
      </c>
      <c r="C258" s="3228">
        <v>6190</v>
      </c>
      <c r="D258" s="3228">
        <v>6160</v>
      </c>
      <c r="E258" s="3228">
        <v>7680</v>
      </c>
      <c r="F258" s="3228">
        <v>1170</v>
      </c>
      <c r="G258" s="3228">
        <v>3780</v>
      </c>
    </row>
    <row r="259" spans="1:7" s="3217" customFormat="1" ht="14.25" customHeight="1">
      <c r="A259" s="3228" t="s">
        <v>301</v>
      </c>
      <c r="B259" s="3228" t="s">
        <v>3119</v>
      </c>
      <c r="C259" s="3228">
        <v>7610</v>
      </c>
      <c r="D259" s="3228">
        <v>7570</v>
      </c>
      <c r="E259" s="3228">
        <v>9350</v>
      </c>
      <c r="F259" s="3228">
        <v>1350</v>
      </c>
      <c r="G259" s="3228">
        <v>4650</v>
      </c>
    </row>
    <row r="260" spans="1:7" s="3217" customFormat="1" ht="14.25" customHeight="1">
      <c r="A260" s="3228" t="s">
        <v>301</v>
      </c>
      <c r="B260" s="3228" t="s">
        <v>3120</v>
      </c>
      <c r="C260" s="3228">
        <v>6920</v>
      </c>
      <c r="D260" s="3228">
        <v>6880</v>
      </c>
      <c r="E260" s="3228">
        <v>8380</v>
      </c>
      <c r="F260" s="3228">
        <v>1160</v>
      </c>
      <c r="G260" s="3228">
        <v>4220</v>
      </c>
    </row>
    <row r="261" spans="1:7" s="3217" customFormat="1" ht="14.25" customHeight="1">
      <c r="A261" s="3228" t="s">
        <v>301</v>
      </c>
      <c r="B261" s="3228" t="s">
        <v>3121</v>
      </c>
      <c r="C261" s="3228">
        <v>6850</v>
      </c>
      <c r="D261" s="3228">
        <v>6810</v>
      </c>
      <c r="E261" s="3228">
        <v>8290</v>
      </c>
      <c r="F261" s="3228">
        <v>1130</v>
      </c>
      <c r="G261" s="3228">
        <v>4180</v>
      </c>
    </row>
    <row r="262" spans="1:7" s="3217" customFormat="1" ht="14.25" customHeight="1">
      <c r="A262" s="3228" t="s">
        <v>301</v>
      </c>
      <c r="B262" s="3228" t="s">
        <v>3122</v>
      </c>
      <c r="C262" s="3228">
        <v>5860</v>
      </c>
      <c r="D262" s="3228">
        <v>5820</v>
      </c>
      <c r="E262" s="3228">
        <v>7640</v>
      </c>
      <c r="F262" s="3228">
        <v>1070</v>
      </c>
      <c r="G262" s="3228">
        <v>3570</v>
      </c>
    </row>
    <row r="263" spans="1:7" s="3217" customFormat="1" ht="14.25" customHeight="1">
      <c r="A263" s="3228" t="s">
        <v>301</v>
      </c>
      <c r="B263" s="3228" t="s">
        <v>3123</v>
      </c>
      <c r="C263" s="3228">
        <v>5870</v>
      </c>
      <c r="D263" s="3228">
        <v>5840</v>
      </c>
      <c r="E263" s="3228">
        <v>7270</v>
      </c>
      <c r="F263" s="3228">
        <v>1190</v>
      </c>
      <c r="G263" s="3228">
        <v>3580</v>
      </c>
    </row>
    <row r="264" spans="1:7" s="3217" customFormat="1" ht="14.25" customHeight="1">
      <c r="A264" s="3228" t="s">
        <v>301</v>
      </c>
      <c r="B264" s="3228" t="s">
        <v>295</v>
      </c>
      <c r="C264" s="3228">
        <v>6190</v>
      </c>
      <c r="D264" s="3228">
        <v>6150</v>
      </c>
      <c r="E264" s="3228">
        <v>7660</v>
      </c>
      <c r="F264" s="3228">
        <v>1160</v>
      </c>
      <c r="G264" s="3228">
        <v>3770</v>
      </c>
    </row>
    <row r="265" spans="1:7" s="3217" customFormat="1" ht="14.25" customHeight="1">
      <c r="A265" s="3228" t="s">
        <v>301</v>
      </c>
      <c r="B265" s="3228" t="s">
        <v>3124</v>
      </c>
      <c r="C265" s="3228"/>
      <c r="D265" s="3228"/>
      <c r="E265" s="3228"/>
      <c r="F265" s="3228">
        <v>1500</v>
      </c>
      <c r="G265" s="3228"/>
    </row>
    <row r="266" spans="1:7" s="3217" customFormat="1" ht="14.25" customHeight="1">
      <c r="A266" s="3228" t="s">
        <v>301</v>
      </c>
      <c r="B266" s="3228" t="s">
        <v>3125</v>
      </c>
      <c r="C266" s="3228"/>
      <c r="D266" s="3228"/>
      <c r="E266" s="3228"/>
      <c r="F266" s="3228">
        <v>1500</v>
      </c>
      <c r="G266" s="3228"/>
    </row>
    <row r="267" spans="1:7" s="3217" customFormat="1" ht="14.25" customHeight="1">
      <c r="A267" s="3228" t="s">
        <v>301</v>
      </c>
      <c r="B267" s="3228" t="s">
        <v>3126</v>
      </c>
      <c r="C267" s="3228"/>
      <c r="D267" s="3228"/>
      <c r="E267" s="3228"/>
      <c r="F267" s="3228">
        <v>1500</v>
      </c>
      <c r="G267" s="3228"/>
    </row>
    <row r="268" spans="1:7" s="3217" customFormat="1" ht="14.25" customHeight="1">
      <c r="A268" s="3228" t="s">
        <v>301</v>
      </c>
      <c r="B268" s="3228" t="s">
        <v>3127</v>
      </c>
      <c r="C268" s="3228"/>
      <c r="D268" s="3228"/>
      <c r="E268" s="3228"/>
      <c r="F268" s="3228">
        <v>1290</v>
      </c>
      <c r="G268" s="3228"/>
    </row>
    <row r="269" spans="1:7" s="3217" customFormat="1" ht="14.25" customHeight="1">
      <c r="A269" s="3228" t="s">
        <v>301</v>
      </c>
      <c r="B269" s="3228" t="s">
        <v>3128</v>
      </c>
      <c r="C269" s="3228"/>
      <c r="D269" s="3228"/>
      <c r="E269" s="3228"/>
      <c r="F269" s="3228">
        <v>1150</v>
      </c>
      <c r="G269" s="3228"/>
    </row>
    <row r="270" spans="1:7" s="3217" customFormat="1" ht="14.25" customHeight="1">
      <c r="A270" s="3228" t="s">
        <v>301</v>
      </c>
      <c r="B270" s="3228" t="s">
        <v>3129</v>
      </c>
      <c r="C270" s="3228"/>
      <c r="D270" s="3228"/>
      <c r="E270" s="3228"/>
      <c r="F270" s="3228">
        <v>1380</v>
      </c>
      <c r="G270" s="3228"/>
    </row>
    <row r="271" spans="1:7" s="3217" customFormat="1" ht="14.25" customHeight="1">
      <c r="A271" s="3228" t="s">
        <v>301</v>
      </c>
      <c r="B271" s="3228" t="s">
        <v>3130</v>
      </c>
      <c r="C271" s="3228"/>
      <c r="D271" s="3228"/>
      <c r="E271" s="3228"/>
      <c r="F271" s="3228">
        <v>1460</v>
      </c>
      <c r="G271" s="3228"/>
    </row>
    <row r="272" spans="1:7" s="3217" customFormat="1" ht="14.25" customHeight="1">
      <c r="A272" s="3228" t="s">
        <v>301</v>
      </c>
      <c r="B272" s="3228" t="s">
        <v>3131</v>
      </c>
      <c r="C272" s="3228"/>
      <c r="D272" s="3228"/>
      <c r="E272" s="3228"/>
      <c r="F272" s="3228">
        <v>1460</v>
      </c>
      <c r="G272" s="3228"/>
    </row>
    <row r="273" spans="1:7" s="3217" customFormat="1" ht="14.25" customHeight="1">
      <c r="A273" s="3228" t="s">
        <v>301</v>
      </c>
      <c r="B273" s="3228" t="s">
        <v>3024</v>
      </c>
      <c r="C273" s="3228"/>
      <c r="D273" s="3228"/>
      <c r="E273" s="3228"/>
      <c r="F273" s="3228">
        <v>1490</v>
      </c>
      <c r="G273" s="3228"/>
    </row>
    <row r="274" spans="1:7" s="3217" customFormat="1" ht="14.25" customHeight="1">
      <c r="A274" s="3228" t="s">
        <v>301</v>
      </c>
      <c r="B274" s="3228" t="s">
        <v>3132</v>
      </c>
      <c r="C274" s="3228"/>
      <c r="D274" s="3228"/>
      <c r="E274" s="3228"/>
      <c r="F274" s="3228">
        <v>1490</v>
      </c>
      <c r="G274" s="3228"/>
    </row>
    <row r="275" spans="1:7" s="3217" customFormat="1" ht="14.25" customHeight="1">
      <c r="A275" s="3228" t="s">
        <v>301</v>
      </c>
      <c r="B275" s="3228" t="s">
        <v>3133</v>
      </c>
      <c r="C275" s="3228"/>
      <c r="D275" s="3228"/>
      <c r="E275" s="3228"/>
      <c r="F275" s="3228">
        <v>1220</v>
      </c>
      <c r="G275" s="3228"/>
    </row>
    <row r="276" spans="1:7" s="3217" customFormat="1" ht="14.25" customHeight="1" thickBot="1">
      <c r="A276" s="3236" t="s">
        <v>301</v>
      </c>
      <c r="B276" s="3238" t="s">
        <v>3134</v>
      </c>
      <c r="C276" s="3239"/>
      <c r="D276" s="3239"/>
      <c r="E276" s="3239"/>
      <c r="F276" s="3239">
        <v>1380</v>
      </c>
      <c r="G276" s="3239"/>
    </row>
    <row r="277" spans="1:7" s="3217" customFormat="1" ht="14.25" customHeight="1">
      <c r="A277" s="3233" t="s">
        <v>302</v>
      </c>
      <c r="B277" s="3224" t="s">
        <v>3135</v>
      </c>
      <c r="C277" s="3224">
        <v>5790</v>
      </c>
      <c r="D277" s="3224">
        <v>5740</v>
      </c>
      <c r="E277" s="3224">
        <v>6730</v>
      </c>
      <c r="F277" s="3224">
        <v>1110</v>
      </c>
      <c r="G277" s="3240">
        <v>3460</v>
      </c>
    </row>
    <row r="278" spans="1:7" s="3217" customFormat="1" ht="14.25" customHeight="1">
      <c r="A278" s="3228" t="s">
        <v>302</v>
      </c>
      <c r="B278" s="3228" t="s">
        <v>131</v>
      </c>
      <c r="C278" s="3228">
        <v>5740</v>
      </c>
      <c r="D278" s="3228">
        <v>5670</v>
      </c>
      <c r="E278" s="3228">
        <v>6680</v>
      </c>
      <c r="F278" s="3228">
        <v>1070</v>
      </c>
      <c r="G278" s="3241">
        <v>3420</v>
      </c>
    </row>
    <row r="279" spans="1:7" s="3217" customFormat="1" ht="14.25" customHeight="1">
      <c r="A279" s="3228" t="s">
        <v>302</v>
      </c>
      <c r="B279" s="3228" t="s">
        <v>3136</v>
      </c>
      <c r="C279" s="3228">
        <v>4760</v>
      </c>
      <c r="D279" s="3228">
        <v>4720</v>
      </c>
      <c r="E279" s="3228">
        <v>5540</v>
      </c>
      <c r="F279" s="3228">
        <v>810</v>
      </c>
      <c r="G279" s="3241">
        <v>2850</v>
      </c>
    </row>
    <row r="280" spans="1:7" s="3217" customFormat="1" ht="14.25" customHeight="1">
      <c r="A280" s="3228" t="s">
        <v>302</v>
      </c>
      <c r="B280" s="3228" t="s">
        <v>3137</v>
      </c>
      <c r="C280" s="3228">
        <v>4010</v>
      </c>
      <c r="D280" s="3228">
        <v>3950</v>
      </c>
      <c r="E280" s="3228">
        <v>4710</v>
      </c>
      <c r="F280" s="3228">
        <v>800</v>
      </c>
      <c r="G280" s="3241">
        <v>2390</v>
      </c>
    </row>
    <row r="281" spans="1:7" s="3217" customFormat="1" ht="14.25" customHeight="1">
      <c r="A281" s="3228" t="s">
        <v>302</v>
      </c>
      <c r="B281" s="3228" t="s">
        <v>3138</v>
      </c>
      <c r="C281" s="3228">
        <v>4480</v>
      </c>
      <c r="D281" s="3228">
        <v>4420</v>
      </c>
      <c r="E281" s="3228">
        <v>5230</v>
      </c>
      <c r="F281" s="3228">
        <v>870</v>
      </c>
      <c r="G281" s="3241">
        <v>2660</v>
      </c>
    </row>
    <row r="282" spans="1:7" s="3217" customFormat="1" ht="14.25" customHeight="1">
      <c r="A282" s="3228" t="s">
        <v>302</v>
      </c>
      <c r="B282" s="3228" t="s">
        <v>3139</v>
      </c>
      <c r="C282" s="3228">
        <v>5360</v>
      </c>
      <c r="D282" s="3228">
        <v>5300</v>
      </c>
      <c r="E282" s="3228">
        <v>6190</v>
      </c>
      <c r="F282" s="3228">
        <v>950</v>
      </c>
      <c r="G282" s="3241">
        <v>3190</v>
      </c>
    </row>
    <row r="283" spans="1:7" s="3217" customFormat="1" ht="14.25" customHeight="1">
      <c r="A283" s="3228" t="s">
        <v>302</v>
      </c>
      <c r="B283" s="3228" t="s">
        <v>170</v>
      </c>
      <c r="C283" s="3228">
        <v>4950</v>
      </c>
      <c r="D283" s="3228">
        <v>4900</v>
      </c>
      <c r="E283" s="3228">
        <v>5720</v>
      </c>
      <c r="F283" s="3228">
        <v>920</v>
      </c>
      <c r="G283" s="3241">
        <v>2950</v>
      </c>
    </row>
    <row r="284" spans="1:7" s="3217" customFormat="1" ht="14.25" customHeight="1">
      <c r="A284" s="3228" t="s">
        <v>302</v>
      </c>
      <c r="B284" s="3228" t="s">
        <v>178</v>
      </c>
      <c r="C284" s="3228">
        <v>5610</v>
      </c>
      <c r="D284" s="3228">
        <v>5560</v>
      </c>
      <c r="E284" s="3228">
        <v>6520</v>
      </c>
      <c r="F284" s="3228">
        <v>1030</v>
      </c>
      <c r="G284" s="3241">
        <v>3360</v>
      </c>
    </row>
    <row r="285" spans="1:7" s="3217" customFormat="1" ht="14.25" customHeight="1">
      <c r="A285" s="3228" t="s">
        <v>302</v>
      </c>
      <c r="B285" s="3228" t="s">
        <v>188</v>
      </c>
      <c r="C285" s="3228">
        <v>5340</v>
      </c>
      <c r="D285" s="3228">
        <v>5290</v>
      </c>
      <c r="E285" s="3228">
        <v>6170</v>
      </c>
      <c r="F285" s="3228">
        <v>1080</v>
      </c>
      <c r="G285" s="3241">
        <v>3180</v>
      </c>
    </row>
    <row r="286" spans="1:7" s="3217" customFormat="1" ht="14.25" customHeight="1">
      <c r="A286" s="3228" t="s">
        <v>302</v>
      </c>
      <c r="B286" s="3228" t="s">
        <v>195</v>
      </c>
      <c r="C286" s="3228">
        <v>4890</v>
      </c>
      <c r="D286" s="3228">
        <v>4840</v>
      </c>
      <c r="E286" s="3228">
        <v>5640</v>
      </c>
      <c r="F286" s="3228">
        <v>960</v>
      </c>
      <c r="G286" s="3241">
        <v>2910</v>
      </c>
    </row>
    <row r="287" spans="1:7" s="3217" customFormat="1" ht="14.25" customHeight="1">
      <c r="A287" s="3228" t="s">
        <v>302</v>
      </c>
      <c r="B287" s="3228" t="s">
        <v>3140</v>
      </c>
      <c r="C287" s="3228">
        <v>4960</v>
      </c>
      <c r="D287" s="3228">
        <v>4920</v>
      </c>
      <c r="E287" s="3228">
        <v>5730</v>
      </c>
      <c r="F287" s="3228">
        <v>930</v>
      </c>
      <c r="G287" s="3241">
        <v>2960</v>
      </c>
    </row>
    <row r="288" spans="1:7" s="3217" customFormat="1" ht="14.25" customHeight="1">
      <c r="A288" s="3228" t="s">
        <v>302</v>
      </c>
      <c r="B288" s="3228" t="s">
        <v>215</v>
      </c>
      <c r="C288" s="3228">
        <v>4350</v>
      </c>
      <c r="D288" s="3228">
        <v>4300</v>
      </c>
      <c r="E288" s="3228">
        <v>4900</v>
      </c>
      <c r="F288" s="3228">
        <v>820</v>
      </c>
      <c r="G288" s="3241">
        <v>2590</v>
      </c>
    </row>
    <row r="289" spans="1:7" s="3217" customFormat="1" ht="14.25" customHeight="1">
      <c r="A289" s="3228" t="s">
        <v>302</v>
      </c>
      <c r="B289" s="3228" t="s">
        <v>3141</v>
      </c>
      <c r="C289" s="3228">
        <v>5230</v>
      </c>
      <c r="D289" s="3228">
        <v>5170</v>
      </c>
      <c r="E289" s="3228">
        <v>6060</v>
      </c>
      <c r="F289" s="3228">
        <v>900</v>
      </c>
      <c r="G289" s="3241">
        <v>3120</v>
      </c>
    </row>
    <row r="290" spans="1:7" s="3217" customFormat="1" ht="14.25" customHeight="1">
      <c r="A290" s="3228" t="s">
        <v>302</v>
      </c>
      <c r="B290" s="3228" t="s">
        <v>238</v>
      </c>
      <c r="C290" s="3228">
        <v>5550</v>
      </c>
      <c r="D290" s="3228">
        <v>5500</v>
      </c>
      <c r="E290" s="3228">
        <v>6440</v>
      </c>
      <c r="F290" s="3228">
        <v>960</v>
      </c>
      <c r="G290" s="3241">
        <v>3320</v>
      </c>
    </row>
    <row r="291" spans="1:7" s="3217" customFormat="1" ht="14.25" customHeight="1">
      <c r="A291" s="3228" t="s">
        <v>302</v>
      </c>
      <c r="B291" s="3228" t="s">
        <v>246</v>
      </c>
      <c r="C291" s="3228">
        <v>5440</v>
      </c>
      <c r="D291" s="3228">
        <v>5400</v>
      </c>
      <c r="E291" s="3228">
        <v>6320</v>
      </c>
      <c r="F291" s="3228">
        <v>930</v>
      </c>
      <c r="G291" s="3241">
        <v>3250</v>
      </c>
    </row>
    <row r="292" spans="1:7" s="3217" customFormat="1" ht="14.25" customHeight="1">
      <c r="A292" s="3228" t="s">
        <v>302</v>
      </c>
      <c r="B292" s="3228" t="s">
        <v>252</v>
      </c>
      <c r="C292" s="3228">
        <v>5400</v>
      </c>
      <c r="D292" s="3228">
        <v>5360</v>
      </c>
      <c r="E292" s="3228">
        <v>6270</v>
      </c>
      <c r="F292" s="3228">
        <v>1040</v>
      </c>
      <c r="G292" s="3241">
        <v>3230</v>
      </c>
    </row>
    <row r="293" spans="1:7" s="3217" customFormat="1" ht="14.25" customHeight="1">
      <c r="A293" s="3228" t="s">
        <v>302</v>
      </c>
      <c r="B293" s="3228" t="s">
        <v>2916</v>
      </c>
      <c r="C293" s="3228">
        <v>5320</v>
      </c>
      <c r="D293" s="3228">
        <v>5270</v>
      </c>
      <c r="E293" s="3228">
        <v>6160</v>
      </c>
      <c r="F293" s="3228">
        <v>990</v>
      </c>
      <c r="G293" s="3241">
        <v>3170</v>
      </c>
    </row>
    <row r="294" spans="1:7" s="3217" customFormat="1" ht="14.25" customHeight="1">
      <c r="A294" s="3228" t="s">
        <v>302</v>
      </c>
      <c r="B294" s="3228" t="s">
        <v>3142</v>
      </c>
      <c r="C294" s="3228">
        <v>5260</v>
      </c>
      <c r="D294" s="3228">
        <v>5210</v>
      </c>
      <c r="E294" s="3228">
        <v>6100</v>
      </c>
      <c r="F294" s="3228">
        <v>950</v>
      </c>
      <c r="G294" s="3241">
        <v>3150</v>
      </c>
    </row>
    <row r="295" spans="1:7" s="3217" customFormat="1" ht="14.25" customHeight="1">
      <c r="A295" s="3228" t="s">
        <v>302</v>
      </c>
      <c r="B295" s="3228" t="s">
        <v>286</v>
      </c>
      <c r="C295" s="3228">
        <v>5610</v>
      </c>
      <c r="D295" s="3228">
        <v>5570</v>
      </c>
      <c r="E295" s="3228">
        <v>6530</v>
      </c>
      <c r="F295" s="3228">
        <v>960</v>
      </c>
      <c r="G295" s="3241">
        <v>3360</v>
      </c>
    </row>
    <row r="296" spans="1:7" s="3217" customFormat="1" ht="14.25" customHeight="1">
      <c r="A296" s="3228" t="s">
        <v>302</v>
      </c>
      <c r="B296" s="3228" t="s">
        <v>289</v>
      </c>
      <c r="C296" s="3228">
        <v>5540</v>
      </c>
      <c r="D296" s="3228">
        <v>5490</v>
      </c>
      <c r="E296" s="3228">
        <v>6430</v>
      </c>
      <c r="F296" s="3228">
        <v>980</v>
      </c>
      <c r="G296" s="3241">
        <v>3310</v>
      </c>
    </row>
    <row r="297" spans="1:7" s="3217" customFormat="1" ht="14.25" customHeight="1">
      <c r="A297" s="3228" t="s">
        <v>302</v>
      </c>
      <c r="B297" s="3228" t="s">
        <v>291</v>
      </c>
      <c r="C297" s="3228">
        <v>5480</v>
      </c>
      <c r="D297" s="3228">
        <v>5420</v>
      </c>
      <c r="E297" s="3228">
        <v>6370</v>
      </c>
      <c r="F297" s="3228">
        <v>990</v>
      </c>
      <c r="G297" s="3241">
        <v>3270</v>
      </c>
    </row>
    <row r="298" spans="1:7" s="3217" customFormat="1" ht="14.25" customHeight="1">
      <c r="A298" s="3228" t="s">
        <v>302</v>
      </c>
      <c r="B298" s="3228" t="s">
        <v>294</v>
      </c>
      <c r="C298" s="3228">
        <v>5090</v>
      </c>
      <c r="D298" s="3228">
        <v>5050</v>
      </c>
      <c r="E298" s="3228">
        <v>5910</v>
      </c>
      <c r="F298" s="3228">
        <v>900</v>
      </c>
      <c r="G298" s="3241">
        <v>3040</v>
      </c>
    </row>
    <row r="299" spans="1:7" s="3217" customFormat="1" ht="14.25" customHeight="1">
      <c r="A299" s="3228" t="s">
        <v>302</v>
      </c>
      <c r="B299" s="3237" t="s">
        <v>2935</v>
      </c>
      <c r="C299" s="3228">
        <v>5430</v>
      </c>
      <c r="D299" s="3228">
        <v>5380</v>
      </c>
      <c r="E299" s="3228">
        <v>6280</v>
      </c>
      <c r="F299" s="3228">
        <v>1000</v>
      </c>
      <c r="G299" s="3241">
        <v>3240</v>
      </c>
    </row>
    <row r="300" spans="1:7" s="3217" customFormat="1" ht="14.25" customHeight="1">
      <c r="A300" s="3228" t="s">
        <v>302</v>
      </c>
      <c r="B300" s="3237" t="s">
        <v>267</v>
      </c>
      <c r="C300" s="3228">
        <v>4740</v>
      </c>
      <c r="D300" s="3228">
        <v>4680</v>
      </c>
      <c r="E300" s="3228">
        <v>5450</v>
      </c>
      <c r="F300" s="3228">
        <v>900</v>
      </c>
      <c r="G300" s="3241">
        <v>2830</v>
      </c>
    </row>
    <row r="301" spans="1:7" s="3217" customFormat="1" ht="14.25" customHeight="1">
      <c r="A301" s="3228" t="s">
        <v>302</v>
      </c>
      <c r="B301" s="3237" t="s">
        <v>272</v>
      </c>
      <c r="C301" s="3228">
        <v>4870</v>
      </c>
      <c r="D301" s="3228">
        <v>4810</v>
      </c>
      <c r="E301" s="3228">
        <v>5560</v>
      </c>
      <c r="F301" s="3228">
        <v>990</v>
      </c>
      <c r="G301" s="3241">
        <v>2910</v>
      </c>
    </row>
    <row r="302" spans="1:7" s="3217" customFormat="1" ht="14.25" customHeight="1">
      <c r="A302" s="3228" t="s">
        <v>302</v>
      </c>
      <c r="B302" s="3228" t="s">
        <v>3143</v>
      </c>
      <c r="C302" s="3228">
        <v>5520</v>
      </c>
      <c r="D302" s="3228">
        <v>5470</v>
      </c>
      <c r="E302" s="3228">
        <v>6410</v>
      </c>
      <c r="F302" s="3228">
        <v>950</v>
      </c>
      <c r="G302" s="3241">
        <v>3300</v>
      </c>
    </row>
    <row r="303" spans="1:7" s="3217" customFormat="1" ht="14.25" customHeight="1">
      <c r="A303" s="3228" t="s">
        <v>302</v>
      </c>
      <c r="B303" s="3228" t="s">
        <v>2955</v>
      </c>
      <c r="C303" s="3228">
        <v>5630</v>
      </c>
      <c r="D303" s="3228">
        <v>5590</v>
      </c>
      <c r="E303" s="3228">
        <v>6550</v>
      </c>
      <c r="F303" s="3228">
        <v>1010</v>
      </c>
      <c r="G303" s="3241">
        <v>3370</v>
      </c>
    </row>
    <row r="304" spans="1:7" s="3217" customFormat="1" ht="14.25" customHeight="1">
      <c r="A304" s="3228" t="s">
        <v>302</v>
      </c>
      <c r="B304" s="3228" t="s">
        <v>2962</v>
      </c>
      <c r="C304" s="3228">
        <v>5680</v>
      </c>
      <c r="D304" s="3228">
        <v>5620</v>
      </c>
      <c r="E304" s="3228">
        <v>6620</v>
      </c>
      <c r="F304" s="3228">
        <v>1050</v>
      </c>
      <c r="G304" s="3241">
        <v>3390</v>
      </c>
    </row>
    <row r="305" spans="1:7" s="3217" customFormat="1" ht="14.25" customHeight="1">
      <c r="A305" s="3228" t="s">
        <v>302</v>
      </c>
      <c r="B305" s="3228" t="s">
        <v>2968</v>
      </c>
      <c r="C305" s="3228">
        <v>5590</v>
      </c>
      <c r="D305" s="3228">
        <v>5530</v>
      </c>
      <c r="E305" s="3228">
        <v>6460</v>
      </c>
      <c r="F305" s="3228">
        <v>900</v>
      </c>
      <c r="G305" s="3241">
        <v>3340</v>
      </c>
    </row>
    <row r="306" spans="1:7" s="3217" customFormat="1" ht="14.25" customHeight="1">
      <c r="A306" s="3228" t="s">
        <v>302</v>
      </c>
      <c r="B306" s="3228" t="s">
        <v>3144</v>
      </c>
      <c r="C306" s="3228">
        <v>5560</v>
      </c>
      <c r="D306" s="3228">
        <v>5510</v>
      </c>
      <c r="E306" s="3228">
        <v>6440</v>
      </c>
      <c r="F306" s="3228">
        <v>900</v>
      </c>
      <c r="G306" s="3241">
        <v>3320</v>
      </c>
    </row>
    <row r="307" spans="1:7" s="3217" customFormat="1" ht="14.25" customHeight="1">
      <c r="A307" s="3228" t="s">
        <v>302</v>
      </c>
      <c r="B307" s="3228" t="s">
        <v>2980</v>
      </c>
      <c r="C307" s="3228">
        <v>5650</v>
      </c>
      <c r="D307" s="3228">
        <v>5600</v>
      </c>
      <c r="E307" s="3228">
        <v>6590</v>
      </c>
      <c r="F307" s="3228">
        <v>930</v>
      </c>
      <c r="G307" s="3241">
        <v>3380</v>
      </c>
    </row>
    <row r="308" spans="1:7" s="3217" customFormat="1" ht="14.25" customHeight="1">
      <c r="A308" s="3228" t="s">
        <v>302</v>
      </c>
      <c r="B308" s="3228" t="s">
        <v>3145</v>
      </c>
      <c r="C308" s="3228">
        <v>5620</v>
      </c>
      <c r="D308" s="3228">
        <v>5580</v>
      </c>
      <c r="E308" s="3228">
        <v>6540</v>
      </c>
      <c r="F308" s="3228">
        <v>910</v>
      </c>
      <c r="G308" s="3241">
        <v>3370</v>
      </c>
    </row>
    <row r="309" spans="1:7" s="3217" customFormat="1" ht="14.25" customHeight="1">
      <c r="A309" s="3228" t="s">
        <v>302</v>
      </c>
      <c r="B309" s="3228" t="s">
        <v>3146</v>
      </c>
      <c r="C309" s="3228">
        <v>5060</v>
      </c>
      <c r="D309" s="3228">
        <v>5020</v>
      </c>
      <c r="E309" s="3228">
        <v>6370</v>
      </c>
      <c r="F309" s="3228">
        <v>800</v>
      </c>
      <c r="G309" s="3241">
        <v>3020</v>
      </c>
    </row>
    <row r="310" spans="1:7" s="3217" customFormat="1" ht="14.25" customHeight="1">
      <c r="A310" s="3228" t="s">
        <v>302</v>
      </c>
      <c r="B310" s="3228" t="s">
        <v>2995</v>
      </c>
      <c r="C310" s="3228">
        <v>5150</v>
      </c>
      <c r="D310" s="3228">
        <v>5110</v>
      </c>
      <c r="E310" s="3228">
        <v>6500</v>
      </c>
      <c r="F310" s="3228">
        <v>880</v>
      </c>
      <c r="G310" s="3241">
        <v>3080</v>
      </c>
    </row>
    <row r="311" spans="1:7" s="3217" customFormat="1" ht="14.25" customHeight="1">
      <c r="A311" s="3228" t="s">
        <v>302</v>
      </c>
      <c r="B311" s="3228" t="s">
        <v>3147</v>
      </c>
      <c r="C311" s="3228">
        <v>4750</v>
      </c>
      <c r="D311" s="3228">
        <v>4710</v>
      </c>
      <c r="E311" s="3228">
        <v>5510</v>
      </c>
      <c r="F311" s="3228">
        <v>880</v>
      </c>
      <c r="G311" s="3241">
        <v>2840</v>
      </c>
    </row>
    <row r="312" spans="1:7" s="3217" customFormat="1" ht="14.25" customHeight="1">
      <c r="A312" s="3228" t="s">
        <v>302</v>
      </c>
      <c r="B312" s="3228" t="s">
        <v>3005</v>
      </c>
      <c r="C312" s="3228">
        <v>4690</v>
      </c>
      <c r="D312" s="3228">
        <v>4640</v>
      </c>
      <c r="E312" s="3228">
        <v>5420</v>
      </c>
      <c r="F312" s="3228">
        <v>800</v>
      </c>
      <c r="G312" s="3241">
        <v>2800</v>
      </c>
    </row>
    <row r="313" spans="1:7" s="3217" customFormat="1" ht="14.25" customHeight="1">
      <c r="A313" s="3228" t="s">
        <v>302</v>
      </c>
      <c r="B313" s="3228" t="s">
        <v>3010</v>
      </c>
      <c r="C313" s="3228">
        <v>4810</v>
      </c>
      <c r="D313" s="3228">
        <v>4760</v>
      </c>
      <c r="E313" s="3228">
        <v>5550</v>
      </c>
      <c r="F313" s="3228">
        <v>920</v>
      </c>
      <c r="G313" s="3241">
        <v>2870</v>
      </c>
    </row>
    <row r="314" spans="1:7" s="3217" customFormat="1" ht="14.25" customHeight="1">
      <c r="A314" s="3228" t="s">
        <v>302</v>
      </c>
      <c r="B314" s="3228" t="s">
        <v>3148</v>
      </c>
      <c r="C314" s="3228"/>
      <c r="D314" s="3228"/>
      <c r="E314" s="3228"/>
      <c r="F314" s="3228">
        <v>1020</v>
      </c>
      <c r="G314" s="3241"/>
    </row>
    <row r="315" spans="1:7" s="3217" customFormat="1" ht="14.25" customHeight="1">
      <c r="A315" s="3228" t="s">
        <v>302</v>
      </c>
      <c r="B315" s="3228" t="s">
        <v>3149</v>
      </c>
      <c r="C315" s="3228"/>
      <c r="D315" s="3228"/>
      <c r="E315" s="3228"/>
      <c r="F315" s="3228">
        <v>1050</v>
      </c>
      <c r="G315" s="3241"/>
    </row>
    <row r="316" spans="1:7" s="3217" customFormat="1" ht="14.25" customHeight="1">
      <c r="A316" s="3228" t="s">
        <v>302</v>
      </c>
      <c r="B316" s="3228" t="s">
        <v>3025</v>
      </c>
      <c r="C316" s="3228"/>
      <c r="D316" s="3228"/>
      <c r="E316" s="3228"/>
      <c r="F316" s="3228">
        <v>900</v>
      </c>
      <c r="G316" s="3241"/>
    </row>
    <row r="317" spans="1:7" s="3217" customFormat="1" ht="14.25" customHeight="1">
      <c r="A317" s="3228" t="s">
        <v>302</v>
      </c>
      <c r="B317" s="3228" t="s">
        <v>3150</v>
      </c>
      <c r="C317" s="3228"/>
      <c r="D317" s="3228"/>
      <c r="E317" s="3228"/>
      <c r="F317" s="3228">
        <v>920</v>
      </c>
      <c r="G317" s="3241"/>
    </row>
    <row r="318" spans="1:7" s="3217" customFormat="1" ht="14.25" customHeight="1">
      <c r="A318" s="3228" t="s">
        <v>302</v>
      </c>
      <c r="B318" s="3228" t="s">
        <v>3151</v>
      </c>
      <c r="C318" s="3228"/>
      <c r="D318" s="3228"/>
      <c r="E318" s="3228"/>
      <c r="F318" s="3228">
        <v>1080</v>
      </c>
      <c r="G318" s="3241"/>
    </row>
    <row r="319" spans="1:7" s="3217" customFormat="1" ht="14.25" customHeight="1">
      <c r="A319" s="3228" t="s">
        <v>302</v>
      </c>
      <c r="B319" s="3228" t="s">
        <v>3038</v>
      </c>
      <c r="C319" s="3228"/>
      <c r="D319" s="3228"/>
      <c r="E319" s="3228"/>
      <c r="F319" s="3228">
        <v>1020</v>
      </c>
      <c r="G319" s="3241"/>
    </row>
    <row r="320" spans="1:7" s="3217" customFormat="1" ht="14.25" customHeight="1">
      <c r="A320" s="3228" t="s">
        <v>302</v>
      </c>
      <c r="B320" s="3228" t="s">
        <v>3041</v>
      </c>
      <c r="C320" s="3228"/>
      <c r="D320" s="3228"/>
      <c r="E320" s="3228"/>
      <c r="F320" s="3228">
        <v>1050</v>
      </c>
      <c r="G320" s="3241"/>
    </row>
    <row r="321" spans="1:7" s="3217" customFormat="1" ht="14.25" customHeight="1">
      <c r="A321" s="3228" t="s">
        <v>302</v>
      </c>
      <c r="B321" s="3228" t="s">
        <v>3043</v>
      </c>
      <c r="C321" s="3228"/>
      <c r="D321" s="3228"/>
      <c r="E321" s="3228"/>
      <c r="F321" s="3228">
        <v>960</v>
      </c>
      <c r="G321" s="3241"/>
    </row>
    <row r="322" spans="1:7" s="3217" customFormat="1" ht="14.25" customHeight="1">
      <c r="A322" s="3228" t="s">
        <v>302</v>
      </c>
      <c r="B322" s="3228" t="s">
        <v>3045</v>
      </c>
      <c r="C322" s="3228"/>
      <c r="D322" s="3228"/>
      <c r="E322" s="3228"/>
      <c r="F322" s="3228">
        <v>960</v>
      </c>
      <c r="G322" s="3241"/>
    </row>
    <row r="323" spans="1:7" s="3217" customFormat="1" ht="14.25" customHeight="1">
      <c r="A323" s="3228" t="s">
        <v>302</v>
      </c>
      <c r="B323" s="3228" t="s">
        <v>3047</v>
      </c>
      <c r="C323" s="3228"/>
      <c r="D323" s="3228"/>
      <c r="E323" s="3228"/>
      <c r="F323" s="3228">
        <v>880</v>
      </c>
      <c r="G323" s="3241"/>
    </row>
    <row r="324" spans="1:7" s="3217" customFormat="1" ht="14.25" customHeight="1">
      <c r="A324" s="3228" t="s">
        <v>302</v>
      </c>
      <c r="B324" s="3228" t="s">
        <v>3049</v>
      </c>
      <c r="C324" s="3228"/>
      <c r="D324" s="3228"/>
      <c r="E324" s="3228"/>
      <c r="F324" s="3228">
        <v>930</v>
      </c>
      <c r="G324" s="3241"/>
    </row>
    <row r="325" spans="1:7" s="3217" customFormat="1" ht="14.25" customHeight="1">
      <c r="A325" s="3228" t="s">
        <v>302</v>
      </c>
      <c r="B325" s="3229" t="s">
        <v>3051</v>
      </c>
      <c r="C325" s="3228"/>
      <c r="D325" s="3228"/>
      <c r="E325" s="3228"/>
      <c r="F325" s="3228">
        <v>900</v>
      </c>
      <c r="G325" s="3241"/>
    </row>
    <row r="326" spans="1:7" s="3217" customFormat="1" ht="14.25" customHeight="1" thickBot="1">
      <c r="A326" s="3242" t="s">
        <v>302</v>
      </c>
      <c r="B326" s="3235" t="s">
        <v>3053</v>
      </c>
      <c r="C326" s="3235"/>
      <c r="D326" s="3235"/>
      <c r="E326" s="3235"/>
      <c r="F326" s="3235">
        <v>790</v>
      </c>
      <c r="G326" s="3243"/>
    </row>
    <row r="327" spans="1:7" s="3217" customFormat="1" ht="14.25" customHeight="1">
      <c r="A327" s="3233" t="s">
        <v>303</v>
      </c>
      <c r="B327" s="3224" t="s">
        <v>3152</v>
      </c>
      <c r="C327" s="3228">
        <v>3750</v>
      </c>
      <c r="D327" s="3228">
        <v>3710</v>
      </c>
      <c r="E327" s="3228">
        <v>4080</v>
      </c>
      <c r="F327" s="3228">
        <v>860</v>
      </c>
      <c r="G327" s="3228">
        <v>2210</v>
      </c>
    </row>
    <row r="328" spans="1:7" s="3217" customFormat="1" ht="14.25" customHeight="1">
      <c r="A328" s="3228" t="s">
        <v>303</v>
      </c>
      <c r="B328" s="3228" t="s">
        <v>132</v>
      </c>
      <c r="C328" s="3228">
        <v>3330</v>
      </c>
      <c r="D328" s="3228">
        <v>3290</v>
      </c>
      <c r="E328" s="3228">
        <v>3610</v>
      </c>
      <c r="F328" s="3228">
        <v>850</v>
      </c>
      <c r="G328" s="3228">
        <v>1960</v>
      </c>
    </row>
    <row r="329" spans="1:7" s="3217" customFormat="1" ht="14.25" customHeight="1">
      <c r="A329" s="3228" t="s">
        <v>303</v>
      </c>
      <c r="B329" s="3228" t="s">
        <v>3153</v>
      </c>
      <c r="C329" s="3228">
        <v>2730</v>
      </c>
      <c r="D329" s="3228">
        <v>2690</v>
      </c>
      <c r="E329" s="3228">
        <v>3100</v>
      </c>
      <c r="F329" s="3228">
        <v>660</v>
      </c>
      <c r="G329" s="3228">
        <v>1610</v>
      </c>
    </row>
    <row r="330" spans="1:7" s="3217" customFormat="1" ht="14.25" customHeight="1">
      <c r="A330" s="3228" t="s">
        <v>303</v>
      </c>
      <c r="B330" s="3228" t="s">
        <v>3154</v>
      </c>
      <c r="C330" s="3228">
        <v>3270</v>
      </c>
      <c r="D330" s="3228">
        <v>3240</v>
      </c>
      <c r="E330" s="3228">
        <v>3560</v>
      </c>
      <c r="F330" s="3228">
        <v>680</v>
      </c>
      <c r="G330" s="3228">
        <v>1940</v>
      </c>
    </row>
    <row r="331" spans="1:7" s="3217" customFormat="1" ht="14.25" customHeight="1">
      <c r="A331" s="3228" t="s">
        <v>303</v>
      </c>
      <c r="B331" s="3228" t="s">
        <v>157</v>
      </c>
      <c r="C331" s="3228">
        <v>3770</v>
      </c>
      <c r="D331" s="3228">
        <v>3740</v>
      </c>
      <c r="E331" s="3228">
        <v>4110</v>
      </c>
      <c r="F331" s="3228">
        <v>730</v>
      </c>
      <c r="G331" s="3228">
        <v>2230</v>
      </c>
    </row>
    <row r="332" spans="1:7" s="3217" customFormat="1" ht="14.25" customHeight="1">
      <c r="A332" s="3228" t="s">
        <v>303</v>
      </c>
      <c r="B332" s="3228" t="s">
        <v>2887</v>
      </c>
      <c r="C332" s="3228">
        <v>3520</v>
      </c>
      <c r="D332" s="3228">
        <v>3480</v>
      </c>
      <c r="E332" s="3228">
        <v>3830</v>
      </c>
      <c r="F332" s="3228">
        <v>720</v>
      </c>
      <c r="G332" s="3228">
        <v>2090</v>
      </c>
    </row>
    <row r="333" spans="1:7" s="3217" customFormat="1" ht="14.25" customHeight="1">
      <c r="A333" s="3228" t="s">
        <v>303</v>
      </c>
      <c r="B333" s="3228" t="s">
        <v>3155</v>
      </c>
      <c r="C333" s="3228">
        <v>3840</v>
      </c>
      <c r="D333" s="3228">
        <v>3800</v>
      </c>
      <c r="E333" s="3228">
        <v>4200</v>
      </c>
      <c r="F333" s="3228">
        <v>760</v>
      </c>
      <c r="G333" s="3228">
        <v>2270</v>
      </c>
    </row>
    <row r="334" spans="1:7" s="3217" customFormat="1" ht="14.25" customHeight="1">
      <c r="A334" s="3228" t="s">
        <v>303</v>
      </c>
      <c r="B334" s="3228" t="s">
        <v>179</v>
      </c>
      <c r="C334" s="3228">
        <v>3960</v>
      </c>
      <c r="D334" s="3228">
        <v>3910</v>
      </c>
      <c r="E334" s="3228">
        <v>4340</v>
      </c>
      <c r="F334" s="3228">
        <v>780</v>
      </c>
      <c r="G334" s="3228">
        <v>2340</v>
      </c>
    </row>
    <row r="335" spans="1:7" s="3217" customFormat="1" ht="14.25" customHeight="1">
      <c r="A335" s="3228" t="s">
        <v>303</v>
      </c>
      <c r="B335" s="3228" t="s">
        <v>189</v>
      </c>
      <c r="C335" s="3228">
        <v>3710</v>
      </c>
      <c r="D335" s="3228">
        <v>3670</v>
      </c>
      <c r="E335" s="3228">
        <v>4030</v>
      </c>
      <c r="F335" s="3228">
        <v>750</v>
      </c>
      <c r="G335" s="3228">
        <v>2200</v>
      </c>
    </row>
    <row r="336" spans="1:7" s="3217" customFormat="1" ht="14.25" customHeight="1">
      <c r="A336" s="3228" t="s">
        <v>303</v>
      </c>
      <c r="B336" s="3228" t="s">
        <v>2897</v>
      </c>
      <c r="C336" s="3228">
        <v>3570</v>
      </c>
      <c r="D336" s="3228">
        <v>3530</v>
      </c>
      <c r="E336" s="3228">
        <v>3880</v>
      </c>
      <c r="F336" s="3228">
        <v>770</v>
      </c>
      <c r="G336" s="3228">
        <v>2110</v>
      </c>
    </row>
    <row r="337" spans="1:10" s="3217" customFormat="1" ht="14.25" customHeight="1">
      <c r="A337" s="3228" t="s">
        <v>303</v>
      </c>
      <c r="B337" s="3228" t="s">
        <v>3156</v>
      </c>
      <c r="C337" s="3228">
        <v>3780</v>
      </c>
      <c r="D337" s="3228">
        <v>3750</v>
      </c>
      <c r="E337" s="3228">
        <v>4130</v>
      </c>
      <c r="F337" s="3228">
        <v>750</v>
      </c>
      <c r="G337" s="3228">
        <v>2240</v>
      </c>
    </row>
    <row r="338" spans="1:10" s="3217" customFormat="1" ht="14.25" customHeight="1">
      <c r="A338" s="3228" t="s">
        <v>303</v>
      </c>
      <c r="B338" s="3228" t="s">
        <v>216</v>
      </c>
      <c r="C338" s="3228">
        <v>3600</v>
      </c>
      <c r="D338" s="3228">
        <v>3570</v>
      </c>
      <c r="E338" s="3228">
        <v>3920</v>
      </c>
      <c r="F338" s="3228">
        <v>790</v>
      </c>
      <c r="G338" s="3228">
        <v>2140</v>
      </c>
    </row>
    <row r="339" spans="1:10" s="3217" customFormat="1" ht="14.25" customHeight="1">
      <c r="A339" s="3228" t="s">
        <v>303</v>
      </c>
      <c r="B339" s="3228" t="s">
        <v>224</v>
      </c>
      <c r="C339" s="3228">
        <v>3540</v>
      </c>
      <c r="D339" s="3228">
        <v>3500</v>
      </c>
      <c r="E339" s="3228">
        <v>3850</v>
      </c>
      <c r="F339" s="3228">
        <v>780</v>
      </c>
      <c r="G339" s="3228">
        <v>2100</v>
      </c>
    </row>
    <row r="340" spans="1:10" s="3217" customFormat="1" ht="14.25" customHeight="1">
      <c r="A340" s="3228" t="s">
        <v>303</v>
      </c>
      <c r="B340" s="3228" t="s">
        <v>3157</v>
      </c>
      <c r="C340" s="3228">
        <v>3850</v>
      </c>
      <c r="D340" s="3228">
        <v>3810</v>
      </c>
      <c r="E340" s="3228">
        <v>4210</v>
      </c>
      <c r="F340" s="3228">
        <v>750</v>
      </c>
      <c r="G340" s="3228">
        <v>2280</v>
      </c>
    </row>
    <row r="341" spans="1:10" s="3217" customFormat="1" ht="14.25" customHeight="1">
      <c r="A341" s="3228" t="s">
        <v>303</v>
      </c>
      <c r="B341" s="3228" t="s">
        <v>203</v>
      </c>
      <c r="C341" s="3228">
        <v>3780</v>
      </c>
      <c r="D341" s="3228">
        <v>3750</v>
      </c>
      <c r="E341" s="3228">
        <v>4140</v>
      </c>
      <c r="F341" s="3228">
        <v>720</v>
      </c>
      <c r="G341" s="3228">
        <v>2240</v>
      </c>
    </row>
    <row r="342" spans="1:10" s="3217" customFormat="1" ht="14.25" customHeight="1">
      <c r="A342" s="3228" t="s">
        <v>303</v>
      </c>
      <c r="B342" s="3228" t="s">
        <v>3158</v>
      </c>
      <c r="C342" s="3228">
        <v>3670</v>
      </c>
      <c r="D342" s="3228">
        <v>3620</v>
      </c>
      <c r="E342" s="3228">
        <v>3990</v>
      </c>
      <c r="F342" s="3228">
        <v>760</v>
      </c>
      <c r="G342" s="3228">
        <v>2170</v>
      </c>
    </row>
    <row r="343" spans="1:10" s="3217" customFormat="1" ht="14.25" customHeight="1">
      <c r="A343" s="3228" t="s">
        <v>303</v>
      </c>
      <c r="B343" s="3228" t="s">
        <v>253</v>
      </c>
      <c r="C343" s="3228">
        <v>3760</v>
      </c>
      <c r="D343" s="3228">
        <v>3720</v>
      </c>
      <c r="E343" s="3228">
        <v>4090</v>
      </c>
      <c r="F343" s="3228">
        <v>780</v>
      </c>
      <c r="G343" s="3228">
        <v>2220</v>
      </c>
    </row>
    <row r="344" spans="1:10" s="3217" customFormat="1" ht="14.25" customHeight="1">
      <c r="A344" s="3228" t="s">
        <v>303</v>
      </c>
      <c r="B344" s="3228" t="s">
        <v>261</v>
      </c>
      <c r="C344" s="3228">
        <v>3680</v>
      </c>
      <c r="D344" s="3228">
        <v>3640</v>
      </c>
      <c r="E344" s="3228">
        <v>4010</v>
      </c>
      <c r="F344" s="3228">
        <v>750</v>
      </c>
      <c r="G344" s="3228">
        <v>2180</v>
      </c>
    </row>
    <row r="345" spans="1:10">
      <c r="A345" s="3228" t="s">
        <v>303</v>
      </c>
      <c r="B345" s="3228" t="s">
        <v>2922</v>
      </c>
      <c r="C345" s="3228">
        <v>3190</v>
      </c>
      <c r="D345" s="3228">
        <v>3140</v>
      </c>
      <c r="E345" s="3228">
        <v>3450</v>
      </c>
      <c r="F345" s="3228">
        <v>720</v>
      </c>
      <c r="G345" s="3228">
        <v>1880</v>
      </c>
      <c r="J345" s="3217"/>
    </row>
    <row r="346" spans="1:10">
      <c r="A346" s="3228" t="s">
        <v>303</v>
      </c>
      <c r="B346" s="3228" t="s">
        <v>3159</v>
      </c>
      <c r="C346" s="3228">
        <v>3630</v>
      </c>
      <c r="D346" s="3228">
        <v>3590</v>
      </c>
      <c r="E346" s="3228">
        <v>3940</v>
      </c>
      <c r="F346" s="3228">
        <v>730</v>
      </c>
      <c r="G346" s="3228">
        <v>2150</v>
      </c>
      <c r="J346" s="3217"/>
    </row>
    <row r="347" spans="1:10">
      <c r="A347" s="3228" t="s">
        <v>303</v>
      </c>
      <c r="B347" s="3228" t="s">
        <v>239</v>
      </c>
      <c r="C347" s="3228">
        <v>3860</v>
      </c>
      <c r="D347" s="3228">
        <v>3820</v>
      </c>
      <c r="E347" s="3228">
        <v>4220</v>
      </c>
      <c r="F347" s="3228">
        <v>750</v>
      </c>
      <c r="G347" s="3228">
        <v>2280</v>
      </c>
      <c r="J347" s="3217"/>
    </row>
    <row r="348" spans="1:10">
      <c r="A348" s="3228" t="s">
        <v>303</v>
      </c>
      <c r="B348" s="3228" t="s">
        <v>2931</v>
      </c>
      <c r="C348" s="3228">
        <v>4000</v>
      </c>
      <c r="D348" s="3228">
        <v>3950</v>
      </c>
      <c r="E348" s="3228">
        <v>4430</v>
      </c>
      <c r="F348" s="3228">
        <v>760</v>
      </c>
      <c r="G348" s="3228">
        <v>2360</v>
      </c>
      <c r="J348" s="3217"/>
    </row>
    <row r="349" spans="1:10">
      <c r="A349" s="3228" t="s">
        <v>303</v>
      </c>
      <c r="B349" s="3228" t="s">
        <v>2936</v>
      </c>
      <c r="C349" s="3228">
        <v>3820</v>
      </c>
      <c r="D349" s="3228">
        <v>3780</v>
      </c>
      <c r="E349" s="3228">
        <v>4170</v>
      </c>
      <c r="F349" s="3228">
        <v>710</v>
      </c>
      <c r="G349" s="3228">
        <v>2260</v>
      </c>
      <c r="J349" s="3217"/>
    </row>
    <row r="350" spans="1:10">
      <c r="A350" s="3228" t="s">
        <v>303</v>
      </c>
      <c r="B350" s="3228" t="s">
        <v>3160</v>
      </c>
      <c r="C350" s="3228">
        <v>3760</v>
      </c>
      <c r="D350" s="3228">
        <v>3730</v>
      </c>
      <c r="E350" s="3228">
        <v>4100</v>
      </c>
      <c r="F350" s="3228">
        <v>800</v>
      </c>
      <c r="G350" s="3228">
        <v>2230</v>
      </c>
      <c r="J350" s="3217"/>
    </row>
    <row r="351" spans="1:10">
      <c r="A351" s="3228" t="s">
        <v>303</v>
      </c>
      <c r="B351" s="3228" t="s">
        <v>2944</v>
      </c>
      <c r="C351" s="3228">
        <v>3610</v>
      </c>
      <c r="D351" s="3228">
        <v>3580</v>
      </c>
      <c r="E351" s="3228">
        <v>3930</v>
      </c>
      <c r="F351" s="3228">
        <v>700</v>
      </c>
      <c r="G351" s="3228">
        <v>2140</v>
      </c>
      <c r="J351" s="3217"/>
    </row>
    <row r="352" spans="1:10">
      <c r="A352" s="3228" t="s">
        <v>303</v>
      </c>
      <c r="B352" s="3228" t="s">
        <v>2949</v>
      </c>
      <c r="C352" s="3228">
        <v>3670</v>
      </c>
      <c r="D352" s="3228">
        <v>3630</v>
      </c>
      <c r="E352" s="3228">
        <v>4000</v>
      </c>
      <c r="F352" s="3228">
        <v>750</v>
      </c>
      <c r="G352" s="3228">
        <v>2180</v>
      </c>
    </row>
    <row r="353" spans="1:7" s="3221" customFormat="1">
      <c r="A353" s="3228" t="s">
        <v>303</v>
      </c>
      <c r="B353" s="3228" t="s">
        <v>3161</v>
      </c>
      <c r="C353" s="3228">
        <v>3190</v>
      </c>
      <c r="D353" s="3228">
        <v>3150</v>
      </c>
      <c r="E353" s="3228">
        <v>3640</v>
      </c>
      <c r="F353" s="3228">
        <v>630</v>
      </c>
      <c r="G353" s="3228">
        <v>1890</v>
      </c>
    </row>
    <row r="354" spans="1:7" s="3221" customFormat="1">
      <c r="A354" s="3228" t="s">
        <v>303</v>
      </c>
      <c r="B354" s="3228" t="s">
        <v>276</v>
      </c>
      <c r="C354" s="3228">
        <v>3450</v>
      </c>
      <c r="D354" s="3228">
        <v>3420</v>
      </c>
      <c r="E354" s="3228">
        <v>3960</v>
      </c>
      <c r="F354" s="3228">
        <v>660</v>
      </c>
      <c r="G354" s="3228">
        <v>2050</v>
      </c>
    </row>
    <row r="355" spans="1:7" s="3221" customFormat="1">
      <c r="A355" s="3228" t="s">
        <v>303</v>
      </c>
      <c r="B355" s="3228" t="s">
        <v>2969</v>
      </c>
      <c r="C355" s="3228">
        <v>3650</v>
      </c>
      <c r="D355" s="3228">
        <v>3610</v>
      </c>
      <c r="E355" s="3228">
        <v>4200</v>
      </c>
      <c r="F355" s="3228">
        <v>640</v>
      </c>
      <c r="G355" s="3228">
        <v>2160</v>
      </c>
    </row>
    <row r="356" spans="1:7" s="3221" customFormat="1">
      <c r="A356" s="3228" t="s">
        <v>303</v>
      </c>
      <c r="B356" s="3228" t="s">
        <v>2976</v>
      </c>
      <c r="C356" s="3228">
        <v>3260</v>
      </c>
      <c r="D356" s="3228">
        <v>3230</v>
      </c>
      <c r="E356" s="3228">
        <v>3740</v>
      </c>
      <c r="F356" s="3228">
        <v>600</v>
      </c>
      <c r="G356" s="3228">
        <v>1930</v>
      </c>
    </row>
    <row r="357" spans="1:7" s="3221" customFormat="1" ht="12" thickBot="1">
      <c r="A357" s="3236" t="s">
        <v>303</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149</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196</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210</v>
      </c>
      <c r="C369" s="3228">
        <v>2320</v>
      </c>
      <c r="D369" s="3228">
        <v>2290</v>
      </c>
      <c r="E369" s="3228">
        <v>2250</v>
      </c>
      <c r="F369" s="3228">
        <v>550</v>
      </c>
      <c r="G369" s="3241">
        <v>1380</v>
      </c>
    </row>
    <row r="370" spans="1:7" s="3221" customFormat="1">
      <c r="A370" s="3228" t="s">
        <v>3163</v>
      </c>
      <c r="B370" s="3228" t="s">
        <v>217</v>
      </c>
      <c r="C370" s="3228">
        <v>2190</v>
      </c>
      <c r="D370" s="3228">
        <v>2170</v>
      </c>
      <c r="E370" s="3228">
        <v>2130</v>
      </c>
      <c r="F370" s="3228">
        <v>530</v>
      </c>
      <c r="G370" s="3241">
        <v>1310</v>
      </c>
    </row>
    <row r="371" spans="1:7" s="3221" customFormat="1">
      <c r="A371" s="3228" t="s">
        <v>3163</v>
      </c>
      <c r="B371" s="3228" t="s">
        <v>225</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254</v>
      </c>
      <c r="C373" s="3228">
        <v>2210</v>
      </c>
      <c r="D373" s="3228">
        <v>2190</v>
      </c>
      <c r="E373" s="3228">
        <v>2150</v>
      </c>
      <c r="F373" s="3228">
        <v>530</v>
      </c>
      <c r="G373" s="3241">
        <v>1320</v>
      </c>
    </row>
    <row r="374" spans="1:7" s="3221" customFormat="1">
      <c r="A374" s="3228" t="s">
        <v>3163</v>
      </c>
      <c r="B374" s="3228" t="s">
        <v>262</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273</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71" t="s">
        <v>3181</v>
      </c>
      <c r="B1" s="3971"/>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140</v>
      </c>
      <c r="B6" s="3259" t="s">
        <v>2869</v>
      </c>
      <c r="C6" s="3260">
        <v>9.8000000000000004E-2</v>
      </c>
      <c r="D6" s="3260">
        <v>9.8000000000000004E-2</v>
      </c>
      <c r="E6" s="3260">
        <v>9.8000000000000004E-2</v>
      </c>
      <c r="F6" s="3260">
        <v>0.1</v>
      </c>
      <c r="G6" s="3261">
        <v>9.9000000000000005E-2</v>
      </c>
    </row>
    <row r="7" spans="1:7">
      <c r="A7" s="3258" t="s">
        <v>140</v>
      </c>
      <c r="B7" s="3259" t="s">
        <v>133</v>
      </c>
      <c r="C7" s="3260">
        <v>9.7000000000000003E-2</v>
      </c>
      <c r="D7" s="3260">
        <v>9.7000000000000003E-2</v>
      </c>
      <c r="E7" s="3260">
        <v>9.6000000000000002E-2</v>
      </c>
      <c r="F7" s="3260">
        <v>0.1</v>
      </c>
      <c r="G7" s="3261">
        <v>9.8000000000000004E-2</v>
      </c>
    </row>
    <row r="8" spans="1:7">
      <c r="A8" s="3258" t="s">
        <v>140</v>
      </c>
      <c r="B8" s="3259" t="s">
        <v>141</v>
      </c>
      <c r="C8" s="3260">
        <v>8.1000000000000003E-2</v>
      </c>
      <c r="D8" s="3260">
        <v>8.2000000000000003E-2</v>
      </c>
      <c r="E8" s="3260">
        <v>7.0000000000000007E-2</v>
      </c>
      <c r="F8" s="3260">
        <v>9.6000000000000002E-2</v>
      </c>
      <c r="G8" s="3261">
        <v>8.8999999999999996E-2</v>
      </c>
    </row>
    <row r="9" spans="1:7" ht="14.25" thickBot="1">
      <c r="A9" s="3262" t="s">
        <v>140</v>
      </c>
      <c r="B9" s="3263" t="s">
        <v>150</v>
      </c>
      <c r="C9" s="3264">
        <v>0.1</v>
      </c>
      <c r="D9" s="3264">
        <v>0.1</v>
      </c>
      <c r="E9" s="3264">
        <v>0.1</v>
      </c>
      <c r="F9" s="3265"/>
      <c r="G9" s="3266">
        <v>0.1</v>
      </c>
    </row>
    <row r="10" spans="1:7">
      <c r="A10" s="3254" t="s">
        <v>180</v>
      </c>
      <c r="B10" s="3255" t="s">
        <v>2855</v>
      </c>
      <c r="C10" s="3256">
        <v>6.7000000000000004E-2</v>
      </c>
      <c r="D10" s="3256">
        <v>7.9000000000000001E-2</v>
      </c>
      <c r="E10" s="3256">
        <v>7.9000000000000001E-2</v>
      </c>
      <c r="F10" s="3256">
        <v>0.1</v>
      </c>
      <c r="G10" s="3257">
        <v>9.0999999999999998E-2</v>
      </c>
    </row>
    <row r="11" spans="1:7">
      <c r="A11" s="3258" t="s">
        <v>180</v>
      </c>
      <c r="B11" s="3259" t="s">
        <v>124</v>
      </c>
      <c r="C11" s="3260">
        <v>0.05</v>
      </c>
      <c r="D11" s="3260">
        <v>5.2999999999999999E-2</v>
      </c>
      <c r="E11" s="3260">
        <v>6.3E-2</v>
      </c>
      <c r="F11" s="3260">
        <v>0.1</v>
      </c>
      <c r="G11" s="3261">
        <v>7.1999999999999995E-2</v>
      </c>
    </row>
    <row r="12" spans="1:7">
      <c r="A12" s="3258" t="s">
        <v>180</v>
      </c>
      <c r="B12" s="3259" t="s">
        <v>107</v>
      </c>
      <c r="C12" s="3260">
        <v>5.2999999999999999E-2</v>
      </c>
      <c r="D12" s="3260">
        <v>0.09</v>
      </c>
      <c r="E12" s="3260">
        <v>7.1999999999999995E-2</v>
      </c>
      <c r="F12" s="3260">
        <v>0.1</v>
      </c>
      <c r="G12" s="3261">
        <v>9.7000000000000003E-2</v>
      </c>
    </row>
    <row r="13" spans="1:7">
      <c r="A13" s="3258" t="s">
        <v>180</v>
      </c>
      <c r="B13" s="3259" t="s">
        <v>142</v>
      </c>
      <c r="C13" s="3260">
        <v>9.7000000000000003E-2</v>
      </c>
      <c r="D13" s="3260">
        <v>9.1999999999999998E-2</v>
      </c>
      <c r="E13" s="3260">
        <v>9.5000000000000001E-2</v>
      </c>
      <c r="F13" s="3260">
        <v>0.1</v>
      </c>
      <c r="G13" s="3261">
        <v>9.7000000000000003E-2</v>
      </c>
    </row>
    <row r="14" spans="1:7">
      <c r="A14" s="3258" t="s">
        <v>180</v>
      </c>
      <c r="B14" s="3259" t="s">
        <v>151</v>
      </c>
      <c r="C14" s="3260">
        <v>9.7000000000000003E-2</v>
      </c>
      <c r="D14" s="3260">
        <v>9.7000000000000003E-2</v>
      </c>
      <c r="E14" s="3260">
        <v>9.7000000000000003E-2</v>
      </c>
      <c r="F14" s="3260">
        <v>0.1</v>
      </c>
      <c r="G14" s="3261">
        <v>9.8000000000000004E-2</v>
      </c>
    </row>
    <row r="15" spans="1:7">
      <c r="A15" s="3258" t="s">
        <v>180</v>
      </c>
      <c r="B15" s="3259" t="s">
        <v>158</v>
      </c>
      <c r="C15" s="3260">
        <v>9.8000000000000004E-2</v>
      </c>
      <c r="D15" s="3260">
        <v>9.0999999999999998E-2</v>
      </c>
      <c r="E15" s="3260">
        <v>0.06</v>
      </c>
      <c r="F15" s="3260">
        <v>0.1</v>
      </c>
      <c r="G15" s="3261">
        <v>9.7000000000000003E-2</v>
      </c>
    </row>
    <row r="16" spans="1:7">
      <c r="A16" s="3258" t="s">
        <v>180</v>
      </c>
      <c r="B16" s="3259" t="s">
        <v>164</v>
      </c>
      <c r="C16" s="3260">
        <v>9.8000000000000004E-2</v>
      </c>
      <c r="D16" s="3260">
        <v>9.7000000000000003E-2</v>
      </c>
      <c r="E16" s="3260">
        <v>9.5000000000000001E-2</v>
      </c>
      <c r="F16" s="3260">
        <v>0.1</v>
      </c>
      <c r="G16" s="3261">
        <v>9.9000000000000005E-2</v>
      </c>
    </row>
    <row r="17" spans="1:7">
      <c r="A17" s="3258" t="s">
        <v>180</v>
      </c>
      <c r="B17" s="3259" t="s">
        <v>171</v>
      </c>
      <c r="C17" s="3260">
        <v>8.8999999999999996E-2</v>
      </c>
      <c r="D17" s="3260">
        <v>9.1999999999999998E-2</v>
      </c>
      <c r="E17" s="3260">
        <v>6.0999999999999999E-2</v>
      </c>
      <c r="F17" s="3260">
        <v>0.1</v>
      </c>
      <c r="G17" s="3261">
        <v>9.7000000000000003E-2</v>
      </c>
    </row>
    <row r="18" spans="1:7">
      <c r="A18" s="3258" t="s">
        <v>180</v>
      </c>
      <c r="B18" s="3259" t="s">
        <v>181</v>
      </c>
      <c r="C18" s="3260">
        <v>9.8000000000000004E-2</v>
      </c>
      <c r="D18" s="3260">
        <v>9.8000000000000004E-2</v>
      </c>
      <c r="E18" s="3260">
        <v>9.8000000000000004E-2</v>
      </c>
      <c r="F18" s="3267"/>
      <c r="G18" s="3261">
        <v>9.9000000000000005E-2</v>
      </c>
    </row>
    <row r="19" spans="1:7">
      <c r="A19" s="3258" t="s">
        <v>180</v>
      </c>
      <c r="B19" s="3259" t="s">
        <v>190</v>
      </c>
      <c r="C19" s="3260">
        <v>9.9000000000000005E-2</v>
      </c>
      <c r="D19" s="3260">
        <v>7.3999999999999996E-2</v>
      </c>
      <c r="E19" s="3260">
        <v>8.1000000000000003E-2</v>
      </c>
      <c r="F19" s="3267"/>
      <c r="G19" s="3261">
        <v>9.2999999999999999E-2</v>
      </c>
    </row>
    <row r="20" spans="1:7">
      <c r="A20" s="3258" t="s">
        <v>180</v>
      </c>
      <c r="B20" s="3259" t="s">
        <v>197</v>
      </c>
      <c r="C20" s="3260">
        <v>0.1</v>
      </c>
      <c r="D20" s="3260">
        <v>8.8999999999999996E-2</v>
      </c>
      <c r="E20" s="3260">
        <v>8.8999999999999996E-2</v>
      </c>
      <c r="F20" s="3267"/>
      <c r="G20" s="3261">
        <v>9.5000000000000001E-2</v>
      </c>
    </row>
    <row r="21" spans="1:7">
      <c r="A21" s="3258" t="s">
        <v>180</v>
      </c>
      <c r="B21" s="3259" t="s">
        <v>204</v>
      </c>
      <c r="C21" s="3260">
        <v>0.1</v>
      </c>
      <c r="D21" s="3260">
        <v>9.0999999999999998E-2</v>
      </c>
      <c r="E21" s="3260">
        <v>8.2000000000000003E-2</v>
      </c>
      <c r="F21" s="3267"/>
      <c r="G21" s="3261">
        <v>9.7000000000000003E-2</v>
      </c>
    </row>
    <row r="22" spans="1:7">
      <c r="A22" s="3258" t="s">
        <v>180</v>
      </c>
      <c r="B22" s="3259" t="s">
        <v>2905</v>
      </c>
      <c r="C22" s="3260">
        <v>9.5000000000000001E-2</v>
      </c>
      <c r="D22" s="3260">
        <v>9.9000000000000005E-2</v>
      </c>
      <c r="E22" s="3260">
        <v>9.8000000000000004E-2</v>
      </c>
      <c r="F22" s="3267"/>
      <c r="G22" s="3261">
        <v>0.1</v>
      </c>
    </row>
    <row r="23" spans="1:7">
      <c r="A23" s="3258" t="s">
        <v>180</v>
      </c>
      <c r="B23" s="3259" t="s">
        <v>218</v>
      </c>
      <c r="C23" s="3260">
        <v>9.9000000000000005E-2</v>
      </c>
      <c r="D23" s="3260">
        <v>0.1</v>
      </c>
      <c r="E23" s="3260">
        <v>0.1</v>
      </c>
      <c r="F23" s="3267"/>
      <c r="G23" s="3261">
        <v>0.1</v>
      </c>
    </row>
    <row r="24" spans="1:7">
      <c r="A24" s="3258" t="s">
        <v>180</v>
      </c>
      <c r="B24" s="3259" t="s">
        <v>226</v>
      </c>
      <c r="C24" s="3260">
        <v>9.5000000000000001E-2</v>
      </c>
      <c r="D24" s="3260">
        <v>0.1</v>
      </c>
      <c r="E24" s="3260">
        <v>9.8000000000000004E-2</v>
      </c>
      <c r="F24" s="3267"/>
      <c r="G24" s="3261">
        <v>0.1</v>
      </c>
    </row>
    <row r="25" spans="1:7">
      <c r="A25" s="3258" t="s">
        <v>180</v>
      </c>
      <c r="B25" s="3259" t="s">
        <v>231</v>
      </c>
      <c r="C25" s="3260">
        <v>0.05</v>
      </c>
      <c r="D25" s="3260">
        <v>9.6000000000000002E-2</v>
      </c>
      <c r="E25" s="3260">
        <v>9.6000000000000002E-2</v>
      </c>
      <c r="F25" s="3267"/>
      <c r="G25" s="3261">
        <v>9.6000000000000002E-2</v>
      </c>
    </row>
    <row r="26" spans="1:7">
      <c r="A26" s="3258" t="s">
        <v>180</v>
      </c>
      <c r="B26" s="3259" t="s">
        <v>240</v>
      </c>
      <c r="C26" s="3260">
        <v>6.3E-2</v>
      </c>
      <c r="D26" s="3260">
        <v>9.9000000000000005E-2</v>
      </c>
      <c r="E26" s="3260">
        <v>9.8000000000000004E-2</v>
      </c>
      <c r="F26" s="3267"/>
      <c r="G26" s="3261">
        <v>0.1</v>
      </c>
    </row>
    <row r="27" spans="1:7">
      <c r="A27" s="3258" t="s">
        <v>180</v>
      </c>
      <c r="B27" s="3259" t="s">
        <v>247</v>
      </c>
      <c r="C27" s="3260">
        <v>5.1999999999999998E-2</v>
      </c>
      <c r="D27" s="3260">
        <v>9.5000000000000001E-2</v>
      </c>
      <c r="E27" s="3260">
        <v>6.4000000000000001E-2</v>
      </c>
      <c r="F27" s="3267"/>
      <c r="G27" s="3261">
        <v>9.7000000000000003E-2</v>
      </c>
    </row>
    <row r="28" spans="1:7">
      <c r="A28" s="3258" t="s">
        <v>180</v>
      </c>
      <c r="B28" s="3259" t="s">
        <v>255</v>
      </c>
      <c r="C28" s="3267"/>
      <c r="D28" s="3260">
        <v>6.3E-2</v>
      </c>
      <c r="E28" s="3260">
        <v>5.1999999999999998E-2</v>
      </c>
      <c r="F28" s="3267"/>
      <c r="G28" s="3261">
        <v>6.3E-2</v>
      </c>
    </row>
    <row r="29" spans="1:7" ht="14.25" thickBot="1">
      <c r="A29" s="3262" t="s">
        <v>180</v>
      </c>
      <c r="B29" s="3263" t="s">
        <v>2923</v>
      </c>
      <c r="C29" s="3268"/>
      <c r="D29" s="3264">
        <v>5.1999999999999998E-2</v>
      </c>
      <c r="E29" s="3264">
        <v>7.0000000000000007E-2</v>
      </c>
      <c r="F29" s="3268"/>
      <c r="G29" s="3266">
        <v>7.0999999999999994E-2</v>
      </c>
    </row>
    <row r="30" spans="1:7">
      <c r="A30" s="3269" t="s">
        <v>292</v>
      </c>
      <c r="B30" s="3255" t="s">
        <v>2856</v>
      </c>
      <c r="C30" s="3256">
        <v>6.6000000000000003E-2</v>
      </c>
      <c r="D30" s="3256">
        <v>6.6000000000000003E-2</v>
      </c>
      <c r="E30" s="3256">
        <v>5.7000000000000002E-2</v>
      </c>
      <c r="F30" s="3256">
        <v>0.1</v>
      </c>
      <c r="G30" s="3257">
        <v>6.8000000000000005E-2</v>
      </c>
    </row>
    <row r="31" spans="1:7">
      <c r="A31" s="3270" t="s">
        <v>292</v>
      </c>
      <c r="B31" s="3259" t="s">
        <v>125</v>
      </c>
      <c r="C31" s="3260">
        <v>5.5E-2</v>
      </c>
      <c r="D31" s="3260">
        <v>8.2000000000000003E-2</v>
      </c>
      <c r="E31" s="3260">
        <v>6.4000000000000001E-2</v>
      </c>
      <c r="F31" s="3260">
        <v>0.1</v>
      </c>
      <c r="G31" s="3261">
        <v>9.5000000000000001E-2</v>
      </c>
    </row>
    <row r="32" spans="1:7">
      <c r="A32" s="3270" t="s">
        <v>292</v>
      </c>
      <c r="B32" s="3259" t="s">
        <v>134</v>
      </c>
      <c r="C32" s="3260">
        <v>8.2000000000000003E-2</v>
      </c>
      <c r="D32" s="3260">
        <v>8.6999999999999994E-2</v>
      </c>
      <c r="E32" s="3260">
        <v>9.5000000000000001E-2</v>
      </c>
      <c r="F32" s="3260">
        <v>0.1</v>
      </c>
      <c r="G32" s="3261">
        <v>9.6000000000000002E-2</v>
      </c>
    </row>
    <row r="33" spans="1:7">
      <c r="A33" s="3270" t="s">
        <v>292</v>
      </c>
      <c r="B33" s="3259" t="s">
        <v>143</v>
      </c>
      <c r="C33" s="3260">
        <v>9.9000000000000005E-2</v>
      </c>
      <c r="D33" s="3260">
        <v>9.1999999999999998E-2</v>
      </c>
      <c r="E33" s="3260">
        <v>8.6999999999999994E-2</v>
      </c>
      <c r="F33" s="3260">
        <v>0.1</v>
      </c>
      <c r="G33" s="3261">
        <v>9.7000000000000003E-2</v>
      </c>
    </row>
    <row r="34" spans="1:7">
      <c r="A34" s="3270" t="s">
        <v>292</v>
      </c>
      <c r="B34" s="3259" t="s">
        <v>152</v>
      </c>
      <c r="C34" s="3260">
        <v>8.4000000000000005E-2</v>
      </c>
      <c r="D34" s="3260">
        <v>9.7000000000000003E-2</v>
      </c>
      <c r="E34" s="3260">
        <v>7.0999999999999994E-2</v>
      </c>
      <c r="F34" s="3260">
        <v>0.1</v>
      </c>
      <c r="G34" s="3261">
        <v>9.8000000000000004E-2</v>
      </c>
    </row>
    <row r="35" spans="1:7">
      <c r="A35" s="3270" t="s">
        <v>292</v>
      </c>
      <c r="B35" s="3259" t="s">
        <v>159</v>
      </c>
      <c r="C35" s="3260">
        <v>8.3000000000000004E-2</v>
      </c>
      <c r="D35" s="3260">
        <v>9.7000000000000003E-2</v>
      </c>
      <c r="E35" s="3260">
        <v>6.0999999999999999E-2</v>
      </c>
      <c r="F35" s="3260">
        <v>0.1</v>
      </c>
      <c r="G35" s="3261">
        <v>9.9000000000000005E-2</v>
      </c>
    </row>
    <row r="36" spans="1:7">
      <c r="A36" s="3270" t="s">
        <v>292</v>
      </c>
      <c r="B36" s="3259" t="s">
        <v>165</v>
      </c>
      <c r="C36" s="3260">
        <v>9.7000000000000003E-2</v>
      </c>
      <c r="D36" s="3260">
        <v>9.7000000000000003E-2</v>
      </c>
      <c r="E36" s="3260">
        <v>7.8E-2</v>
      </c>
      <c r="F36" s="3260">
        <v>0.1</v>
      </c>
      <c r="G36" s="3261">
        <v>9.9000000000000005E-2</v>
      </c>
    </row>
    <row r="37" spans="1:7">
      <c r="A37" s="3270" t="s">
        <v>292</v>
      </c>
      <c r="B37" s="3259" t="s">
        <v>172</v>
      </c>
      <c r="C37" s="3260">
        <v>9.7000000000000003E-2</v>
      </c>
      <c r="D37" s="3260">
        <v>9.5000000000000001E-2</v>
      </c>
      <c r="E37" s="3260">
        <v>7.8E-2</v>
      </c>
      <c r="F37" s="3260">
        <v>0.1</v>
      </c>
      <c r="G37" s="3261">
        <v>9.7000000000000003E-2</v>
      </c>
    </row>
    <row r="38" spans="1:7">
      <c r="A38" s="3270" t="s">
        <v>292</v>
      </c>
      <c r="B38" s="3259" t="s">
        <v>182</v>
      </c>
      <c r="C38" s="3260">
        <v>9.7000000000000003E-2</v>
      </c>
      <c r="D38" s="3260">
        <v>7.6999999999999999E-2</v>
      </c>
      <c r="E38" s="3260">
        <v>7.0000000000000007E-2</v>
      </c>
      <c r="F38" s="3260">
        <v>0.1</v>
      </c>
      <c r="G38" s="3261">
        <v>7.6999999999999999E-2</v>
      </c>
    </row>
    <row r="39" spans="1:7">
      <c r="A39" s="3270" t="s">
        <v>292</v>
      </c>
      <c r="B39" s="3259" t="s">
        <v>191</v>
      </c>
      <c r="C39" s="3260">
        <v>9.5000000000000001E-2</v>
      </c>
      <c r="D39" s="3260">
        <v>7.6999999999999999E-2</v>
      </c>
      <c r="E39" s="3260">
        <v>6.6000000000000003E-2</v>
      </c>
      <c r="F39" s="3260">
        <v>0.1</v>
      </c>
      <c r="G39" s="3261">
        <v>8.5999999999999993E-2</v>
      </c>
    </row>
    <row r="40" spans="1:7">
      <c r="A40" s="3270" t="s">
        <v>292</v>
      </c>
      <c r="B40" s="3259" t="s">
        <v>198</v>
      </c>
      <c r="C40" s="3260">
        <v>7.6999999999999999E-2</v>
      </c>
      <c r="D40" s="3260">
        <v>7.8E-2</v>
      </c>
      <c r="E40" s="3260">
        <v>8.2000000000000003E-2</v>
      </c>
      <c r="F40" s="3271"/>
      <c r="G40" s="3261">
        <v>7.8E-2</v>
      </c>
    </row>
    <row r="41" spans="1:7">
      <c r="A41" s="3270" t="s">
        <v>292</v>
      </c>
      <c r="B41" s="3259" t="s">
        <v>205</v>
      </c>
      <c r="C41" s="3260">
        <v>7.8E-2</v>
      </c>
      <c r="D41" s="3260">
        <v>7.8E-2</v>
      </c>
      <c r="E41" s="3260">
        <v>8.2000000000000003E-2</v>
      </c>
      <c r="F41" s="3271"/>
      <c r="G41" s="3261">
        <v>8.5999999999999993E-2</v>
      </c>
    </row>
    <row r="42" spans="1:7">
      <c r="A42" s="3270" t="s">
        <v>292</v>
      </c>
      <c r="B42" s="3259" t="s">
        <v>211</v>
      </c>
      <c r="C42" s="3260">
        <v>7.8E-2</v>
      </c>
      <c r="D42" s="3260">
        <v>9.6000000000000002E-2</v>
      </c>
      <c r="E42" s="3260">
        <v>7.1999999999999995E-2</v>
      </c>
      <c r="F42" s="3271"/>
      <c r="G42" s="3261">
        <v>9.8000000000000004E-2</v>
      </c>
    </row>
    <row r="43" spans="1:7">
      <c r="A43" s="3270" t="s">
        <v>2842</v>
      </c>
      <c r="B43" s="3259" t="s">
        <v>219</v>
      </c>
      <c r="C43" s="3260">
        <v>7.8E-2</v>
      </c>
      <c r="D43" s="3260">
        <v>9.9000000000000005E-2</v>
      </c>
      <c r="E43" s="3260">
        <v>9.6000000000000002E-2</v>
      </c>
      <c r="F43" s="3271"/>
      <c r="G43" s="3261">
        <v>0.1</v>
      </c>
    </row>
    <row r="44" spans="1:7">
      <c r="A44" s="3270" t="s">
        <v>292</v>
      </c>
      <c r="B44" s="3259" t="s">
        <v>227</v>
      </c>
      <c r="C44" s="3260">
        <v>9.6000000000000002E-2</v>
      </c>
      <c r="D44" s="3260">
        <v>0.1</v>
      </c>
      <c r="E44" s="3260">
        <v>9.8000000000000004E-2</v>
      </c>
      <c r="F44" s="3271"/>
      <c r="G44" s="3261">
        <v>0.1</v>
      </c>
    </row>
    <row r="45" spans="1:7">
      <c r="A45" s="3270" t="s">
        <v>292</v>
      </c>
      <c r="B45" s="3259" t="s">
        <v>232</v>
      </c>
      <c r="C45" s="3260">
        <v>9.9000000000000005E-2</v>
      </c>
      <c r="D45" s="3260">
        <v>9.8000000000000004E-2</v>
      </c>
      <c r="E45" s="3260">
        <v>9.5000000000000001E-2</v>
      </c>
      <c r="F45" s="3271"/>
      <c r="G45" s="3261">
        <v>9.8000000000000004E-2</v>
      </c>
    </row>
    <row r="46" spans="1:7">
      <c r="A46" s="3270" t="s">
        <v>292</v>
      </c>
      <c r="B46" s="3259" t="s">
        <v>241</v>
      </c>
      <c r="C46" s="3260">
        <v>0.1</v>
      </c>
      <c r="D46" s="3260">
        <v>9.9000000000000005E-2</v>
      </c>
      <c r="E46" s="3260">
        <v>9.6000000000000002E-2</v>
      </c>
      <c r="F46" s="3271"/>
      <c r="G46" s="3261">
        <v>0.1</v>
      </c>
    </row>
    <row r="47" spans="1:7">
      <c r="A47" s="3270" t="s">
        <v>292</v>
      </c>
      <c r="B47" s="3259" t="s">
        <v>248</v>
      </c>
      <c r="C47" s="3260">
        <v>9.8000000000000004E-2</v>
      </c>
      <c r="D47" s="3260">
        <v>8.6999999999999994E-2</v>
      </c>
      <c r="E47" s="3260">
        <v>5.8999999999999997E-2</v>
      </c>
      <c r="F47" s="3271"/>
      <c r="G47" s="3261">
        <v>9.6000000000000002E-2</v>
      </c>
    </row>
    <row r="48" spans="1:7">
      <c r="A48" s="3270" t="s">
        <v>292</v>
      </c>
      <c r="B48" s="3259" t="s">
        <v>256</v>
      </c>
      <c r="C48" s="3260">
        <v>9.9000000000000005E-2</v>
      </c>
      <c r="D48" s="3260">
        <v>9.8000000000000004E-2</v>
      </c>
      <c r="E48" s="3260">
        <v>9.5000000000000001E-2</v>
      </c>
      <c r="F48" s="3271"/>
      <c r="G48" s="3261">
        <v>9.8000000000000004E-2</v>
      </c>
    </row>
    <row r="49" spans="1:7">
      <c r="A49" s="3270" t="s">
        <v>292</v>
      </c>
      <c r="B49" s="3259" t="s">
        <v>263</v>
      </c>
      <c r="C49" s="3260">
        <v>8.7999999999999995E-2</v>
      </c>
      <c r="D49" s="3260">
        <v>9.9000000000000005E-2</v>
      </c>
      <c r="E49" s="3260">
        <v>7.0000000000000007E-2</v>
      </c>
      <c r="F49" s="3271"/>
      <c r="G49" s="3261">
        <v>0.1</v>
      </c>
    </row>
    <row r="50" spans="1:7">
      <c r="A50" s="3270" t="s">
        <v>292</v>
      </c>
      <c r="B50" s="3259" t="s">
        <v>2926</v>
      </c>
      <c r="C50" s="3260">
        <v>9.8000000000000004E-2</v>
      </c>
      <c r="D50" s="3260">
        <v>7.2999999999999995E-2</v>
      </c>
      <c r="E50" s="3260">
        <v>7.0999999999999994E-2</v>
      </c>
      <c r="F50" s="3271"/>
      <c r="G50" s="3261">
        <v>7.2999999999999995E-2</v>
      </c>
    </row>
    <row r="51" spans="1:7">
      <c r="A51" s="3270" t="s">
        <v>292</v>
      </c>
      <c r="B51" s="3259" t="s">
        <v>2928</v>
      </c>
      <c r="C51" s="3260">
        <v>9.9000000000000005E-2</v>
      </c>
      <c r="D51" s="3260">
        <v>8.5000000000000006E-2</v>
      </c>
      <c r="E51" s="3260">
        <v>6.3E-2</v>
      </c>
      <c r="F51" s="3271"/>
      <c r="G51" s="3261">
        <v>9.6000000000000002E-2</v>
      </c>
    </row>
    <row r="52" spans="1:7">
      <c r="A52" s="3270" t="s">
        <v>292</v>
      </c>
      <c r="B52" s="3259" t="s">
        <v>2932</v>
      </c>
      <c r="C52" s="3260">
        <v>7.3999999999999996E-2</v>
      </c>
      <c r="D52" s="3260">
        <v>9.6000000000000002E-2</v>
      </c>
      <c r="E52" s="3260">
        <v>0.05</v>
      </c>
      <c r="F52" s="3271"/>
      <c r="G52" s="3261">
        <v>9.8000000000000004E-2</v>
      </c>
    </row>
    <row r="53" spans="1:7">
      <c r="A53" s="3270" t="s">
        <v>292</v>
      </c>
      <c r="B53" s="3259" t="s">
        <v>2937</v>
      </c>
      <c r="C53" s="3260">
        <v>8.5999999999999993E-2</v>
      </c>
      <c r="D53" s="3271"/>
      <c r="E53" s="3260">
        <v>9.1999999999999998E-2</v>
      </c>
      <c r="F53" s="3271"/>
      <c r="G53" s="3272"/>
    </row>
    <row r="54" spans="1:7" ht="14.25" thickBot="1">
      <c r="A54" s="3273" t="s">
        <v>292</v>
      </c>
      <c r="B54" s="3263" t="s">
        <v>2940</v>
      </c>
      <c r="C54" s="3264">
        <v>9.6000000000000002E-2</v>
      </c>
      <c r="D54" s="3265"/>
      <c r="E54" s="3274"/>
      <c r="F54" s="3265"/>
      <c r="G54" s="3275"/>
    </row>
    <row r="55" spans="1:7">
      <c r="A55" s="3269" t="s">
        <v>106</v>
      </c>
      <c r="B55" s="3255" t="s">
        <v>2857</v>
      </c>
      <c r="C55" s="3256">
        <v>9.6000000000000002E-2</v>
      </c>
      <c r="D55" s="3256">
        <v>8.4000000000000005E-2</v>
      </c>
      <c r="E55" s="3256">
        <v>9.1999999999999998E-2</v>
      </c>
      <c r="F55" s="3256">
        <v>0.1</v>
      </c>
      <c r="G55" s="3257">
        <v>9.5000000000000001E-2</v>
      </c>
    </row>
    <row r="56" spans="1:7">
      <c r="A56" s="3270" t="s">
        <v>106</v>
      </c>
      <c r="B56" s="3259" t="s">
        <v>126</v>
      </c>
      <c r="C56" s="3260">
        <v>8.4000000000000005E-2</v>
      </c>
      <c r="D56" s="3260">
        <v>9.1999999999999998E-2</v>
      </c>
      <c r="E56" s="3260">
        <v>9.5000000000000001E-2</v>
      </c>
      <c r="F56" s="3260">
        <v>9.1999999999999998E-2</v>
      </c>
      <c r="G56" s="3261">
        <v>9.6000000000000002E-2</v>
      </c>
    </row>
    <row r="57" spans="1:7">
      <c r="A57" s="3270" t="s">
        <v>106</v>
      </c>
      <c r="B57" s="3259" t="s">
        <v>135</v>
      </c>
      <c r="C57" s="3260">
        <v>9.9000000000000005E-2</v>
      </c>
      <c r="D57" s="3260">
        <v>9.6000000000000002E-2</v>
      </c>
      <c r="E57" s="3260">
        <v>9.1999999999999998E-2</v>
      </c>
      <c r="F57" s="3260">
        <v>0.1</v>
      </c>
      <c r="G57" s="3261">
        <v>9.8000000000000004E-2</v>
      </c>
    </row>
    <row r="58" spans="1:7">
      <c r="A58" s="3270" t="s">
        <v>106</v>
      </c>
      <c r="B58" s="3259" t="s">
        <v>144</v>
      </c>
      <c r="C58" s="3260">
        <v>9.8000000000000004E-2</v>
      </c>
      <c r="D58" s="3260">
        <v>9.5000000000000001E-2</v>
      </c>
      <c r="E58" s="3260">
        <v>5.7000000000000002E-2</v>
      </c>
      <c r="F58" s="3260">
        <v>0.1</v>
      </c>
      <c r="G58" s="3261">
        <v>9.6000000000000002E-2</v>
      </c>
    </row>
    <row r="59" spans="1:7">
      <c r="A59" s="3270" t="s">
        <v>106</v>
      </c>
      <c r="B59" s="3259" t="s">
        <v>153</v>
      </c>
      <c r="C59" s="3260">
        <v>9.5000000000000001E-2</v>
      </c>
      <c r="D59" s="3260">
        <v>0.1</v>
      </c>
      <c r="E59" s="3260">
        <v>7.4999999999999997E-2</v>
      </c>
      <c r="F59" s="3260">
        <v>0.1</v>
      </c>
      <c r="G59" s="3261">
        <v>0.1</v>
      </c>
    </row>
    <row r="60" spans="1:7">
      <c r="A60" s="3270" t="s">
        <v>106</v>
      </c>
      <c r="B60" s="3259" t="s">
        <v>160</v>
      </c>
      <c r="C60" s="3260">
        <v>0.1</v>
      </c>
      <c r="D60" s="3260">
        <v>9.7000000000000003E-2</v>
      </c>
      <c r="E60" s="3260">
        <v>0.1</v>
      </c>
      <c r="F60" s="3260">
        <v>0.1</v>
      </c>
      <c r="G60" s="3261">
        <v>9.7000000000000003E-2</v>
      </c>
    </row>
    <row r="61" spans="1:7">
      <c r="A61" s="3270" t="s">
        <v>106</v>
      </c>
      <c r="B61" s="3259" t="s">
        <v>166</v>
      </c>
      <c r="C61" s="3260">
        <v>9.7000000000000003E-2</v>
      </c>
      <c r="D61" s="3260">
        <v>0.1</v>
      </c>
      <c r="E61" s="3260">
        <v>9.2999999999999999E-2</v>
      </c>
      <c r="F61" s="3260">
        <v>0.1</v>
      </c>
      <c r="G61" s="3261">
        <v>0.1</v>
      </c>
    </row>
    <row r="62" spans="1:7">
      <c r="A62" s="3270" t="s">
        <v>106</v>
      </c>
      <c r="B62" s="3259" t="s">
        <v>173</v>
      </c>
      <c r="C62" s="3260">
        <v>0.1</v>
      </c>
      <c r="D62" s="3260">
        <v>9.7000000000000003E-2</v>
      </c>
      <c r="E62" s="3260">
        <v>8.8999999999999996E-2</v>
      </c>
      <c r="F62" s="3260">
        <v>0.1</v>
      </c>
      <c r="G62" s="3261">
        <v>9.8000000000000004E-2</v>
      </c>
    </row>
    <row r="63" spans="1:7">
      <c r="A63" s="3270" t="s">
        <v>106</v>
      </c>
      <c r="B63" s="3259" t="s">
        <v>183</v>
      </c>
      <c r="C63" s="3260">
        <v>9.7000000000000003E-2</v>
      </c>
      <c r="D63" s="3260">
        <v>9.7000000000000003E-2</v>
      </c>
      <c r="E63" s="3260">
        <v>9.9000000000000005E-2</v>
      </c>
      <c r="F63" s="3260">
        <v>0.1</v>
      </c>
      <c r="G63" s="3261">
        <v>9.7000000000000003E-2</v>
      </c>
    </row>
    <row r="64" spans="1:7">
      <c r="A64" s="3270" t="s">
        <v>106</v>
      </c>
      <c r="B64" s="3259" t="s">
        <v>192</v>
      </c>
      <c r="C64" s="3260">
        <v>9.7000000000000003E-2</v>
      </c>
      <c r="D64" s="3260">
        <v>7.3999999999999996E-2</v>
      </c>
      <c r="E64" s="3260">
        <v>7.8E-2</v>
      </c>
      <c r="F64" s="3260">
        <v>0.1</v>
      </c>
      <c r="G64" s="3261">
        <v>8.8999999999999996E-2</v>
      </c>
    </row>
    <row r="65" spans="1:7">
      <c r="A65" s="3270" t="s">
        <v>106</v>
      </c>
      <c r="B65" s="3259" t="s">
        <v>199</v>
      </c>
      <c r="C65" s="3260">
        <v>7.2999999999999995E-2</v>
      </c>
      <c r="D65" s="3260">
        <v>9.8000000000000004E-2</v>
      </c>
      <c r="E65" s="3260">
        <v>9.5000000000000001E-2</v>
      </c>
      <c r="F65" s="3260">
        <v>0.1</v>
      </c>
      <c r="G65" s="3261">
        <v>9.9000000000000005E-2</v>
      </c>
    </row>
    <row r="66" spans="1:7">
      <c r="A66" s="3270" t="s">
        <v>106</v>
      </c>
      <c r="B66" s="3259" t="s">
        <v>206</v>
      </c>
      <c r="C66" s="3260">
        <v>9.8000000000000004E-2</v>
      </c>
      <c r="D66" s="3260">
        <v>9.5000000000000001E-2</v>
      </c>
      <c r="E66" s="3260">
        <v>0.05</v>
      </c>
      <c r="F66" s="3260">
        <v>0.1</v>
      </c>
      <c r="G66" s="3261">
        <v>9.7000000000000003E-2</v>
      </c>
    </row>
    <row r="67" spans="1:7">
      <c r="A67" s="3270" t="s">
        <v>106</v>
      </c>
      <c r="B67" s="3259" t="s">
        <v>212</v>
      </c>
      <c r="C67" s="3260">
        <v>9.5000000000000001E-2</v>
      </c>
      <c r="D67" s="3260">
        <v>9.7000000000000003E-2</v>
      </c>
      <c r="E67" s="3260">
        <v>9.7000000000000003E-2</v>
      </c>
      <c r="F67" s="3260">
        <v>0.1</v>
      </c>
      <c r="G67" s="3261">
        <v>9.9000000000000005E-2</v>
      </c>
    </row>
    <row r="68" spans="1:7">
      <c r="A68" s="3270" t="s">
        <v>106</v>
      </c>
      <c r="B68" s="3259" t="s">
        <v>220</v>
      </c>
      <c r="C68" s="3260">
        <v>9.7000000000000003E-2</v>
      </c>
      <c r="D68" s="3260">
        <v>6.8000000000000005E-2</v>
      </c>
      <c r="E68" s="3260">
        <v>6.6000000000000003E-2</v>
      </c>
      <c r="F68" s="3260">
        <v>0.1</v>
      </c>
      <c r="G68" s="3261">
        <v>8.4000000000000005E-2</v>
      </c>
    </row>
    <row r="69" spans="1:7">
      <c r="A69" s="3270" t="s">
        <v>106</v>
      </c>
      <c r="B69" s="3259" t="s">
        <v>228</v>
      </c>
      <c r="C69" s="3260">
        <v>6.8000000000000005E-2</v>
      </c>
      <c r="D69" s="3260">
        <v>9.8000000000000004E-2</v>
      </c>
      <c r="E69" s="3260">
        <v>9.5000000000000001E-2</v>
      </c>
      <c r="F69" s="3260">
        <v>0.1</v>
      </c>
      <c r="G69" s="3261">
        <v>0.1</v>
      </c>
    </row>
    <row r="70" spans="1:7">
      <c r="A70" s="3270" t="s">
        <v>106</v>
      </c>
      <c r="B70" s="3259" t="s">
        <v>233</v>
      </c>
      <c r="C70" s="3260">
        <v>9.8000000000000004E-2</v>
      </c>
      <c r="D70" s="3260">
        <v>8.8999999999999996E-2</v>
      </c>
      <c r="E70" s="3260">
        <v>5.8999999999999997E-2</v>
      </c>
      <c r="F70" s="3260">
        <v>0.1</v>
      </c>
      <c r="G70" s="3261">
        <v>9.6000000000000002E-2</v>
      </c>
    </row>
    <row r="71" spans="1:7">
      <c r="A71" s="3270" t="s">
        <v>106</v>
      </c>
      <c r="B71" s="3259" t="s">
        <v>242</v>
      </c>
      <c r="C71" s="3260">
        <v>8.8999999999999996E-2</v>
      </c>
      <c r="D71" s="3260">
        <v>9.9000000000000005E-2</v>
      </c>
      <c r="E71" s="3260">
        <v>9.6000000000000002E-2</v>
      </c>
      <c r="F71" s="3260">
        <v>0.1</v>
      </c>
      <c r="G71" s="3261">
        <v>0.1</v>
      </c>
    </row>
    <row r="72" spans="1:7">
      <c r="A72" s="3270" t="s">
        <v>106</v>
      </c>
      <c r="B72" s="3259" t="s">
        <v>249</v>
      </c>
      <c r="C72" s="3260">
        <v>9.9000000000000005E-2</v>
      </c>
      <c r="D72" s="3260">
        <v>0.1</v>
      </c>
      <c r="E72" s="3260">
        <v>7.0000000000000007E-2</v>
      </c>
      <c r="F72" s="3271"/>
      <c r="G72" s="3261">
        <v>0.1</v>
      </c>
    </row>
    <row r="73" spans="1:7">
      <c r="A73" s="3270" t="s">
        <v>106</v>
      </c>
      <c r="B73" s="3259" t="s">
        <v>257</v>
      </c>
      <c r="C73" s="3260">
        <v>0.1</v>
      </c>
      <c r="D73" s="3260">
        <v>0.1</v>
      </c>
      <c r="E73" s="3260">
        <v>9.6000000000000002E-2</v>
      </c>
      <c r="F73" s="3271"/>
      <c r="G73" s="3261">
        <v>0.1</v>
      </c>
    </row>
    <row r="74" spans="1:7">
      <c r="A74" s="3270" t="s">
        <v>106</v>
      </c>
      <c r="B74" s="3259" t="s">
        <v>264</v>
      </c>
      <c r="C74" s="3260">
        <v>0.1</v>
      </c>
      <c r="D74" s="3260">
        <v>0.1</v>
      </c>
      <c r="E74" s="3260">
        <v>9.8000000000000004E-2</v>
      </c>
      <c r="F74" s="3271"/>
      <c r="G74" s="3261">
        <v>0.1</v>
      </c>
    </row>
    <row r="75" spans="1:7">
      <c r="A75" s="3270" t="s">
        <v>106</v>
      </c>
      <c r="B75" s="3259" t="s">
        <v>268</v>
      </c>
      <c r="C75" s="3260">
        <v>0.1</v>
      </c>
      <c r="D75" s="3260">
        <v>9.9000000000000005E-2</v>
      </c>
      <c r="E75" s="3260">
        <v>9.8000000000000004E-2</v>
      </c>
      <c r="F75" s="3271"/>
      <c r="G75" s="3261">
        <v>0.1</v>
      </c>
    </row>
    <row r="76" spans="1:7">
      <c r="A76" s="3270" t="s">
        <v>106</v>
      </c>
      <c r="B76" s="3259" t="s">
        <v>274</v>
      </c>
      <c r="C76" s="3260">
        <v>9.9000000000000005E-2</v>
      </c>
      <c r="D76" s="3260">
        <v>0.1</v>
      </c>
      <c r="E76" s="3260">
        <v>9.7000000000000003E-2</v>
      </c>
      <c r="F76" s="3271"/>
      <c r="G76" s="3261">
        <v>0.1</v>
      </c>
    </row>
    <row r="77" spans="1:7">
      <c r="A77" s="3270" t="s">
        <v>106</v>
      </c>
      <c r="B77" s="3259" t="s">
        <v>277</v>
      </c>
      <c r="C77" s="3260">
        <v>0.1</v>
      </c>
      <c r="D77" s="3260">
        <v>0.1</v>
      </c>
      <c r="E77" s="3260">
        <v>9.6000000000000002E-2</v>
      </c>
      <c r="F77" s="3271"/>
      <c r="G77" s="3261">
        <v>0.1</v>
      </c>
    </row>
    <row r="78" spans="1:7">
      <c r="A78" s="3270" t="s">
        <v>106</v>
      </c>
      <c r="B78" s="3259" t="s">
        <v>2938</v>
      </c>
      <c r="C78" s="3260">
        <v>0.1</v>
      </c>
      <c r="D78" s="3260">
        <v>8.5000000000000006E-2</v>
      </c>
      <c r="E78" s="3260">
        <v>9.6000000000000002E-2</v>
      </c>
      <c r="F78" s="3271"/>
      <c r="G78" s="3261">
        <v>9.6000000000000002E-2</v>
      </c>
    </row>
    <row r="79" spans="1:7">
      <c r="A79" s="3270" t="s">
        <v>106</v>
      </c>
      <c r="B79" s="3259" t="s">
        <v>2941</v>
      </c>
      <c r="C79" s="3260">
        <v>0.05</v>
      </c>
      <c r="D79" s="3260">
        <v>9.6000000000000002E-2</v>
      </c>
      <c r="E79" s="3260">
        <v>9.5000000000000001E-2</v>
      </c>
      <c r="F79" s="3271"/>
      <c r="G79" s="3261">
        <v>9.8000000000000004E-2</v>
      </c>
    </row>
    <row r="80" spans="1:7">
      <c r="A80" s="3270" t="s">
        <v>106</v>
      </c>
      <c r="B80" s="3259" t="s">
        <v>2945</v>
      </c>
      <c r="C80" s="3260">
        <v>8.5999999999999993E-2</v>
      </c>
      <c r="D80" s="3276"/>
      <c r="E80" s="3260">
        <v>0.1</v>
      </c>
      <c r="F80" s="3271"/>
      <c r="G80" s="3272"/>
    </row>
    <row r="81" spans="1:7">
      <c r="A81" s="3270" t="s">
        <v>106</v>
      </c>
      <c r="B81" s="3259" t="s">
        <v>2950</v>
      </c>
      <c r="C81" s="3260">
        <v>9.6000000000000002E-2</v>
      </c>
      <c r="D81" s="3271"/>
      <c r="E81" s="3260">
        <v>9.8000000000000004E-2</v>
      </c>
      <c r="F81" s="3271"/>
      <c r="G81" s="3272"/>
    </row>
    <row r="82" spans="1:7">
      <c r="A82" s="3270" t="s">
        <v>106</v>
      </c>
      <c r="B82" s="3259" t="s">
        <v>2957</v>
      </c>
      <c r="C82" s="3276"/>
      <c r="D82" s="3271"/>
      <c r="E82" s="3260">
        <v>7.6999999999999999E-2</v>
      </c>
      <c r="F82" s="3271"/>
      <c r="G82" s="3272"/>
    </row>
    <row r="83" spans="1:7">
      <c r="A83" s="3270" t="s">
        <v>106</v>
      </c>
      <c r="B83" s="3259" t="s">
        <v>2963</v>
      </c>
      <c r="C83" s="3271"/>
      <c r="D83" s="3271"/>
      <c r="E83" s="3271"/>
      <c r="F83" s="3260">
        <v>0.1</v>
      </c>
      <c r="G83" s="3277"/>
    </row>
    <row r="84" spans="1:7">
      <c r="A84" s="3270" t="s">
        <v>106</v>
      </c>
      <c r="B84" s="3259" t="s">
        <v>2970</v>
      </c>
      <c r="C84" s="3271"/>
      <c r="D84" s="3271"/>
      <c r="E84" s="3271"/>
      <c r="F84" s="3260">
        <v>0.1</v>
      </c>
      <c r="G84" s="3277"/>
    </row>
    <row r="85" spans="1:7">
      <c r="A85" s="3270" t="s">
        <v>106</v>
      </c>
      <c r="B85" s="3259" t="s">
        <v>2977</v>
      </c>
      <c r="C85" s="3271"/>
      <c r="D85" s="3271"/>
      <c r="E85" s="3271"/>
      <c r="F85" s="3260">
        <v>0.1</v>
      </c>
      <c r="G85" s="3277"/>
    </row>
    <row r="86" spans="1:7" ht="14.25" thickBot="1">
      <c r="A86" s="3273" t="s">
        <v>106</v>
      </c>
      <c r="B86" s="3263" t="s">
        <v>2982</v>
      </c>
      <c r="C86" s="3264">
        <v>9.8000000000000004E-2</v>
      </c>
      <c r="D86" s="3264">
        <v>9.8000000000000004E-2</v>
      </c>
      <c r="E86" s="3264">
        <v>9.6000000000000002E-2</v>
      </c>
      <c r="F86" s="3274"/>
      <c r="G86" s="3266">
        <v>0.1</v>
      </c>
    </row>
    <row r="87" spans="1:7">
      <c r="A87" s="3269" t="s">
        <v>299</v>
      </c>
      <c r="B87" s="3255" t="s">
        <v>2858</v>
      </c>
      <c r="C87" s="3256">
        <v>0.1</v>
      </c>
      <c r="D87" s="3256">
        <v>0.1</v>
      </c>
      <c r="E87" s="3256">
        <v>9.8000000000000004E-2</v>
      </c>
      <c r="F87" s="3256">
        <v>0.1</v>
      </c>
      <c r="G87" s="3257">
        <v>0.1</v>
      </c>
    </row>
    <row r="88" spans="1:7">
      <c r="A88" s="3270" t="s">
        <v>299</v>
      </c>
      <c r="B88" s="3259" t="s">
        <v>127</v>
      </c>
      <c r="C88" s="3260">
        <v>9.0999999999999998E-2</v>
      </c>
      <c r="D88" s="3260">
        <v>9.1999999999999998E-2</v>
      </c>
      <c r="E88" s="3260">
        <v>0.1</v>
      </c>
      <c r="F88" s="3260">
        <v>0.1</v>
      </c>
      <c r="G88" s="3261">
        <v>9.6000000000000002E-2</v>
      </c>
    </row>
    <row r="89" spans="1:7">
      <c r="A89" s="3270" t="s">
        <v>299</v>
      </c>
      <c r="B89" s="3259" t="s">
        <v>136</v>
      </c>
      <c r="C89" s="3260">
        <v>0.1</v>
      </c>
      <c r="D89" s="3260">
        <v>0.1</v>
      </c>
      <c r="E89" s="3260">
        <v>6.7000000000000004E-2</v>
      </c>
      <c r="F89" s="3260">
        <v>9.2999999999999999E-2</v>
      </c>
      <c r="G89" s="3261">
        <v>0.1</v>
      </c>
    </row>
    <row r="90" spans="1:7">
      <c r="A90" s="3270" t="s">
        <v>299</v>
      </c>
      <c r="B90" s="3259" t="s">
        <v>145</v>
      </c>
      <c r="C90" s="3260">
        <v>9.6000000000000002E-2</v>
      </c>
      <c r="D90" s="3260">
        <v>9.6000000000000002E-2</v>
      </c>
      <c r="E90" s="3260">
        <v>0.1</v>
      </c>
      <c r="F90" s="3260">
        <v>0.1</v>
      </c>
      <c r="G90" s="3261">
        <v>9.8000000000000004E-2</v>
      </c>
    </row>
    <row r="91" spans="1:7">
      <c r="A91" s="3270" t="s">
        <v>299</v>
      </c>
      <c r="B91" s="3259" t="s">
        <v>154</v>
      </c>
      <c r="C91" s="3260">
        <v>7.6999999999999999E-2</v>
      </c>
      <c r="D91" s="3260">
        <v>7.6999999999999999E-2</v>
      </c>
      <c r="E91" s="3260">
        <v>9.6000000000000002E-2</v>
      </c>
      <c r="F91" s="3260">
        <v>0.1</v>
      </c>
      <c r="G91" s="3261">
        <v>7.6999999999999999E-2</v>
      </c>
    </row>
    <row r="92" spans="1:7">
      <c r="A92" s="3270" t="s">
        <v>299</v>
      </c>
      <c r="B92" s="3259" t="s">
        <v>161</v>
      </c>
      <c r="C92" s="3260">
        <v>0.1</v>
      </c>
      <c r="D92" s="3260">
        <v>0.1</v>
      </c>
      <c r="E92" s="3260">
        <v>9.1999999999999998E-2</v>
      </c>
      <c r="F92" s="3260">
        <v>0.1</v>
      </c>
      <c r="G92" s="3261">
        <v>0.1</v>
      </c>
    </row>
    <row r="93" spans="1:7">
      <c r="A93" s="3270" t="s">
        <v>299</v>
      </c>
      <c r="B93" s="3259" t="s">
        <v>167</v>
      </c>
      <c r="C93" s="3260">
        <v>9.8000000000000004E-2</v>
      </c>
      <c r="D93" s="3260">
        <v>9.8000000000000004E-2</v>
      </c>
      <c r="E93" s="3260">
        <v>9.6000000000000002E-2</v>
      </c>
      <c r="F93" s="3260">
        <v>0.1</v>
      </c>
      <c r="G93" s="3261">
        <v>9.9000000000000005E-2</v>
      </c>
    </row>
    <row r="94" spans="1:7">
      <c r="A94" s="3270" t="s">
        <v>299</v>
      </c>
      <c r="B94" s="3259" t="s">
        <v>174</v>
      </c>
      <c r="C94" s="3260">
        <v>8.7999999999999995E-2</v>
      </c>
      <c r="D94" s="3260">
        <v>8.7999999999999995E-2</v>
      </c>
      <c r="E94" s="3260">
        <v>9.6000000000000002E-2</v>
      </c>
      <c r="F94" s="3260">
        <v>0.1</v>
      </c>
      <c r="G94" s="3261">
        <v>8.7999999999999995E-2</v>
      </c>
    </row>
    <row r="95" spans="1:7">
      <c r="A95" s="3270" t="s">
        <v>299</v>
      </c>
      <c r="B95" s="3259" t="s">
        <v>184</v>
      </c>
      <c r="C95" s="3260">
        <v>9.6000000000000002E-2</v>
      </c>
      <c r="D95" s="3260">
        <v>9.6000000000000002E-2</v>
      </c>
      <c r="E95" s="3260">
        <v>0.1</v>
      </c>
      <c r="F95" s="3260">
        <v>0.1</v>
      </c>
      <c r="G95" s="3261">
        <v>9.8000000000000004E-2</v>
      </c>
    </row>
    <row r="96" spans="1:7">
      <c r="A96" s="3270" t="s">
        <v>299</v>
      </c>
      <c r="B96" s="3259" t="s">
        <v>193</v>
      </c>
      <c r="C96" s="3260">
        <v>9.7000000000000003E-2</v>
      </c>
      <c r="D96" s="3260">
        <v>9.7000000000000003E-2</v>
      </c>
      <c r="E96" s="3260">
        <v>0.1</v>
      </c>
      <c r="F96" s="3260">
        <v>0.1</v>
      </c>
      <c r="G96" s="3261">
        <v>9.8000000000000004E-2</v>
      </c>
    </row>
    <row r="97" spans="1:7">
      <c r="A97" s="3270" t="s">
        <v>299</v>
      </c>
      <c r="B97" s="3259" t="s">
        <v>200</v>
      </c>
      <c r="C97" s="3260">
        <v>9.6000000000000002E-2</v>
      </c>
      <c r="D97" s="3260">
        <v>9.6000000000000002E-2</v>
      </c>
      <c r="E97" s="3260">
        <v>9.9000000000000005E-2</v>
      </c>
      <c r="F97" s="3260">
        <v>0.1</v>
      </c>
      <c r="G97" s="3261">
        <v>9.8000000000000004E-2</v>
      </c>
    </row>
    <row r="98" spans="1:7">
      <c r="A98" s="3270" t="s">
        <v>299</v>
      </c>
      <c r="B98" s="3259" t="s">
        <v>207</v>
      </c>
      <c r="C98" s="3260">
        <v>9.8000000000000004E-2</v>
      </c>
      <c r="D98" s="3260">
        <v>9.8000000000000004E-2</v>
      </c>
      <c r="E98" s="3260">
        <v>0.1</v>
      </c>
      <c r="F98" s="3260">
        <v>0.1</v>
      </c>
      <c r="G98" s="3261">
        <v>9.9000000000000005E-2</v>
      </c>
    </row>
    <row r="99" spans="1:7">
      <c r="A99" s="3270" t="s">
        <v>299</v>
      </c>
      <c r="B99" s="3259" t="s">
        <v>213</v>
      </c>
      <c r="C99" s="3260">
        <v>9.6000000000000002E-2</v>
      </c>
      <c r="D99" s="3260">
        <v>9.6000000000000002E-2</v>
      </c>
      <c r="E99" s="3260">
        <v>0.1</v>
      </c>
      <c r="F99" s="3260">
        <v>0.1</v>
      </c>
      <c r="G99" s="3261">
        <v>9.7000000000000003E-2</v>
      </c>
    </row>
    <row r="100" spans="1:7">
      <c r="A100" s="3270" t="s">
        <v>299</v>
      </c>
      <c r="B100" s="3259" t="s">
        <v>221</v>
      </c>
      <c r="C100" s="3260">
        <v>0.1</v>
      </c>
      <c r="D100" s="3260">
        <v>0.1</v>
      </c>
      <c r="E100" s="3260">
        <v>9.7000000000000003E-2</v>
      </c>
      <c r="F100" s="3260">
        <v>9.8000000000000004E-2</v>
      </c>
      <c r="G100" s="3261">
        <v>0.1</v>
      </c>
    </row>
    <row r="101" spans="1:7">
      <c r="A101" s="3270" t="s">
        <v>299</v>
      </c>
      <c r="B101" s="3259" t="s">
        <v>229</v>
      </c>
      <c r="C101" s="3260">
        <v>0.1</v>
      </c>
      <c r="D101" s="3260">
        <v>0.1</v>
      </c>
      <c r="E101" s="3260">
        <v>9.5000000000000001E-2</v>
      </c>
      <c r="F101" s="3260">
        <v>0.1</v>
      </c>
      <c r="G101" s="3261">
        <v>0.1</v>
      </c>
    </row>
    <row r="102" spans="1:7">
      <c r="A102" s="3270" t="s">
        <v>299</v>
      </c>
      <c r="B102" s="3259" t="s">
        <v>234</v>
      </c>
      <c r="C102" s="3260">
        <v>0.1</v>
      </c>
      <c r="D102" s="3260">
        <v>0.1</v>
      </c>
      <c r="E102" s="3260">
        <v>9.9000000000000005E-2</v>
      </c>
      <c r="F102" s="3260">
        <v>9.7000000000000003E-2</v>
      </c>
      <c r="G102" s="3261">
        <v>0.1</v>
      </c>
    </row>
    <row r="103" spans="1:7">
      <c r="A103" s="3270" t="s">
        <v>299</v>
      </c>
      <c r="B103" s="3259" t="s">
        <v>243</v>
      </c>
      <c r="C103" s="3260">
        <v>0.1</v>
      </c>
      <c r="D103" s="3260">
        <v>0.1</v>
      </c>
      <c r="E103" s="3260">
        <v>9.8000000000000004E-2</v>
      </c>
      <c r="F103" s="3260">
        <v>0.1</v>
      </c>
      <c r="G103" s="3261">
        <v>0.1</v>
      </c>
    </row>
    <row r="104" spans="1:7">
      <c r="A104" s="3270" t="s">
        <v>299</v>
      </c>
      <c r="B104" s="3259" t="s">
        <v>250</v>
      </c>
      <c r="C104" s="3260">
        <v>0.1</v>
      </c>
      <c r="D104" s="3260">
        <v>0.1</v>
      </c>
      <c r="E104" s="3260">
        <v>9.8000000000000004E-2</v>
      </c>
      <c r="F104" s="3260">
        <v>0.1</v>
      </c>
      <c r="G104" s="3261">
        <v>0.1</v>
      </c>
    </row>
    <row r="105" spans="1:7">
      <c r="A105" s="3270" t="s">
        <v>299</v>
      </c>
      <c r="B105" s="3259" t="s">
        <v>258</v>
      </c>
      <c r="C105" s="3260">
        <v>9.8000000000000004E-2</v>
      </c>
      <c r="D105" s="3260">
        <v>9.8000000000000004E-2</v>
      </c>
      <c r="E105" s="3260">
        <v>9.8000000000000004E-2</v>
      </c>
      <c r="F105" s="3260">
        <v>0.1</v>
      </c>
      <c r="G105" s="3261">
        <v>9.9000000000000005E-2</v>
      </c>
    </row>
    <row r="106" spans="1:7">
      <c r="A106" s="3270" t="s">
        <v>299</v>
      </c>
      <c r="B106" s="3259" t="s">
        <v>265</v>
      </c>
      <c r="C106" s="3260">
        <v>9.7000000000000003E-2</v>
      </c>
      <c r="D106" s="3260">
        <v>9.7000000000000003E-2</v>
      </c>
      <c r="E106" s="3260">
        <v>9.7000000000000003E-2</v>
      </c>
      <c r="F106" s="3260">
        <v>0.1</v>
      </c>
      <c r="G106" s="3261">
        <v>9.9000000000000005E-2</v>
      </c>
    </row>
    <row r="107" spans="1:7">
      <c r="A107" s="3270" t="s">
        <v>299</v>
      </c>
      <c r="B107" s="3259" t="s">
        <v>269</v>
      </c>
      <c r="C107" s="3260">
        <v>0.1</v>
      </c>
      <c r="D107" s="3260">
        <v>0.1</v>
      </c>
      <c r="E107" s="3260">
        <v>8.5999999999999993E-2</v>
      </c>
      <c r="F107" s="3260">
        <v>0.09</v>
      </c>
      <c r="G107" s="3261">
        <v>0.1</v>
      </c>
    </row>
    <row r="108" spans="1:7">
      <c r="A108" s="3270" t="s">
        <v>299</v>
      </c>
      <c r="B108" s="3259" t="s">
        <v>275</v>
      </c>
      <c r="C108" s="3260">
        <v>0.1</v>
      </c>
      <c r="D108" s="3260">
        <v>0.1</v>
      </c>
      <c r="E108" s="3260">
        <v>9.6000000000000002E-2</v>
      </c>
      <c r="F108" s="3271"/>
      <c r="G108" s="3261">
        <v>0.1</v>
      </c>
    </row>
    <row r="109" spans="1:7">
      <c r="A109" s="3270" t="s">
        <v>299</v>
      </c>
      <c r="B109" s="3259" t="s">
        <v>278</v>
      </c>
      <c r="C109" s="3260">
        <v>0.1</v>
      </c>
      <c r="D109" s="3260">
        <v>0.1</v>
      </c>
      <c r="E109" s="3260">
        <v>0.1</v>
      </c>
      <c r="F109" s="3271"/>
      <c r="G109" s="3261">
        <v>0.1</v>
      </c>
    </row>
    <row r="110" spans="1:7">
      <c r="A110" s="3270" t="s">
        <v>299</v>
      </c>
      <c r="B110" s="3259" t="s">
        <v>280</v>
      </c>
      <c r="C110" s="3260">
        <v>0.1</v>
      </c>
      <c r="D110" s="3260">
        <v>0.1</v>
      </c>
      <c r="E110" s="3260">
        <v>0.1</v>
      </c>
      <c r="F110" s="3271"/>
      <c r="G110" s="3261">
        <v>0.1</v>
      </c>
    </row>
    <row r="111" spans="1:7">
      <c r="A111" s="3270" t="s">
        <v>299</v>
      </c>
      <c r="B111" s="3259" t="s">
        <v>283</v>
      </c>
      <c r="C111" s="3260">
        <v>0.1</v>
      </c>
      <c r="D111" s="3260">
        <v>0.1</v>
      </c>
      <c r="E111" s="3260">
        <v>9.5000000000000001E-2</v>
      </c>
      <c r="F111" s="3271"/>
      <c r="G111" s="3261">
        <v>0.1</v>
      </c>
    </row>
    <row r="112" spans="1:7">
      <c r="A112" s="3270" t="s">
        <v>299</v>
      </c>
      <c r="B112" s="3259" t="s">
        <v>287</v>
      </c>
      <c r="C112" s="3260">
        <v>9.7000000000000003E-2</v>
      </c>
      <c r="D112" s="3260">
        <v>9.7000000000000003E-2</v>
      </c>
      <c r="E112" s="3260">
        <v>0.05</v>
      </c>
      <c r="F112" s="3271"/>
      <c r="G112" s="3261">
        <v>9.8000000000000004E-2</v>
      </c>
    </row>
    <row r="113" spans="1:7">
      <c r="A113" s="3270" t="s">
        <v>299</v>
      </c>
      <c r="B113" s="3259" t="s">
        <v>2951</v>
      </c>
      <c r="C113" s="3260">
        <v>0.1</v>
      </c>
      <c r="D113" s="3260">
        <v>0.1</v>
      </c>
      <c r="E113" s="3271"/>
      <c r="F113" s="3271"/>
      <c r="G113" s="3261">
        <v>0.1</v>
      </c>
    </row>
    <row r="114" spans="1:7">
      <c r="A114" s="3270" t="s">
        <v>299</v>
      </c>
      <c r="B114" s="3259" t="s">
        <v>2958</v>
      </c>
      <c r="C114" s="3260">
        <v>9.7000000000000003E-2</v>
      </c>
      <c r="D114" s="3260">
        <v>9.7000000000000003E-2</v>
      </c>
      <c r="E114" s="3271"/>
      <c r="F114" s="3271"/>
      <c r="G114" s="3261">
        <v>9.9000000000000005E-2</v>
      </c>
    </row>
    <row r="115" spans="1:7">
      <c r="A115" s="3270" t="s">
        <v>299</v>
      </c>
      <c r="B115" s="3259" t="s">
        <v>2964</v>
      </c>
      <c r="C115" s="3260">
        <v>0.1</v>
      </c>
      <c r="D115" s="3260">
        <v>0.1</v>
      </c>
      <c r="E115" s="3271"/>
      <c r="F115" s="3271"/>
      <c r="G115" s="3261">
        <v>0.1</v>
      </c>
    </row>
    <row r="116" spans="1:7">
      <c r="A116" s="3270" t="s">
        <v>299</v>
      </c>
      <c r="B116" s="3259" t="s">
        <v>2971</v>
      </c>
      <c r="C116" s="3260">
        <v>0.1</v>
      </c>
      <c r="D116" s="3260">
        <v>0.1</v>
      </c>
      <c r="E116" s="3271"/>
      <c r="F116" s="3271"/>
      <c r="G116" s="3261">
        <v>0.1</v>
      </c>
    </row>
    <row r="117" spans="1:7">
      <c r="A117" s="3270" t="s">
        <v>299</v>
      </c>
      <c r="B117" s="3259" t="s">
        <v>2978</v>
      </c>
      <c r="C117" s="3260">
        <v>9.7000000000000003E-2</v>
      </c>
      <c r="D117" s="3260">
        <v>9.7000000000000003E-2</v>
      </c>
      <c r="E117" s="3271"/>
      <c r="F117" s="3271"/>
      <c r="G117" s="3261">
        <v>9.7000000000000003E-2</v>
      </c>
    </row>
    <row r="118" spans="1:7">
      <c r="A118" s="3270" t="s">
        <v>299</v>
      </c>
      <c r="B118" s="3259" t="s">
        <v>2983</v>
      </c>
      <c r="C118" s="3260">
        <v>0.1</v>
      </c>
      <c r="D118" s="3260">
        <v>0.1</v>
      </c>
      <c r="E118" s="3271"/>
      <c r="F118" s="3271"/>
      <c r="G118" s="3261">
        <v>0.1</v>
      </c>
    </row>
    <row r="119" spans="1:7">
      <c r="A119" s="3270" t="s">
        <v>299</v>
      </c>
      <c r="B119" s="3259" t="s">
        <v>2987</v>
      </c>
      <c r="C119" s="3260">
        <v>5.0999999999999997E-2</v>
      </c>
      <c r="D119" s="3260">
        <v>5.1999999999999998E-2</v>
      </c>
      <c r="E119" s="3271"/>
      <c r="F119" s="3276"/>
      <c r="G119" s="3261">
        <v>0.06</v>
      </c>
    </row>
    <row r="120" spans="1:7">
      <c r="A120" s="3270" t="s">
        <v>299</v>
      </c>
      <c r="B120" s="3259" t="s">
        <v>2991</v>
      </c>
      <c r="C120" s="3271"/>
      <c r="D120" s="3271"/>
      <c r="E120" s="3271"/>
      <c r="F120" s="3260">
        <v>0.1</v>
      </c>
      <c r="G120" s="3277"/>
    </row>
    <row r="121" spans="1:7">
      <c r="A121" s="3270" t="s">
        <v>299</v>
      </c>
      <c r="B121" s="3259" t="s">
        <v>2996</v>
      </c>
      <c r="C121" s="3271"/>
      <c r="D121" s="3271"/>
      <c r="E121" s="3271"/>
      <c r="F121" s="3260">
        <v>0.1</v>
      </c>
      <c r="G121" s="3277"/>
    </row>
    <row r="122" spans="1:7">
      <c r="A122" s="3270" t="s">
        <v>299</v>
      </c>
      <c r="B122" s="3259" t="s">
        <v>3001</v>
      </c>
      <c r="C122" s="3260">
        <v>0.1</v>
      </c>
      <c r="D122" s="3260">
        <v>0.1</v>
      </c>
      <c r="E122" s="3260">
        <v>9.8000000000000004E-2</v>
      </c>
      <c r="F122" s="3260">
        <v>0.1</v>
      </c>
      <c r="G122" s="3261">
        <v>0.1</v>
      </c>
    </row>
    <row r="123" spans="1:7">
      <c r="A123" s="3270" t="s">
        <v>299</v>
      </c>
      <c r="B123" s="3259" t="s">
        <v>3006</v>
      </c>
      <c r="C123" s="3260">
        <v>0.1</v>
      </c>
      <c r="D123" s="3260">
        <v>0.1</v>
      </c>
      <c r="E123" s="3260">
        <v>9.8000000000000004E-2</v>
      </c>
      <c r="F123" s="3260">
        <v>0.1</v>
      </c>
      <c r="G123" s="3261">
        <v>0.1</v>
      </c>
    </row>
    <row r="124" spans="1:7">
      <c r="A124" s="3270" t="s">
        <v>299</v>
      </c>
      <c r="B124" s="3259" t="s">
        <v>3011</v>
      </c>
      <c r="C124" s="3260">
        <v>0.1</v>
      </c>
      <c r="D124" s="3260">
        <v>0.1</v>
      </c>
      <c r="E124" s="3260">
        <v>9.8000000000000004E-2</v>
      </c>
      <c r="F124" s="3276"/>
      <c r="G124" s="3261">
        <v>0.1</v>
      </c>
    </row>
    <row r="125" spans="1:7">
      <c r="A125" s="3270" t="s">
        <v>299</v>
      </c>
      <c r="B125" s="3259" t="s">
        <v>3016</v>
      </c>
      <c r="C125" s="3260">
        <v>9.8000000000000004E-2</v>
      </c>
      <c r="D125" s="3260">
        <v>9.8000000000000004E-2</v>
      </c>
      <c r="E125" s="3260">
        <v>9.6000000000000002E-2</v>
      </c>
      <c r="F125" s="3276"/>
      <c r="G125" s="3261">
        <v>0.1</v>
      </c>
    </row>
    <row r="126" spans="1:7" ht="14.25" thickBot="1">
      <c r="A126" s="3273" t="s">
        <v>299</v>
      </c>
      <c r="B126" s="3263" t="s">
        <v>3182</v>
      </c>
      <c r="C126" s="3264">
        <v>0.1</v>
      </c>
      <c r="D126" s="3264">
        <v>0.1</v>
      </c>
      <c r="E126" s="3264">
        <v>9.8000000000000004E-2</v>
      </c>
      <c r="F126" s="3264">
        <v>0.1</v>
      </c>
      <c r="G126" s="3266">
        <v>0.1</v>
      </c>
    </row>
    <row r="127" spans="1:7">
      <c r="A127" s="3269" t="s">
        <v>25</v>
      </c>
      <c r="B127" s="3255" t="s">
        <v>2859</v>
      </c>
      <c r="C127" s="3256">
        <v>0.121</v>
      </c>
      <c r="D127" s="3256">
        <v>0.121</v>
      </c>
      <c r="E127" s="3256">
        <v>0.107</v>
      </c>
      <c r="F127" s="3256">
        <v>0.13</v>
      </c>
      <c r="G127" s="3257">
        <v>0.122</v>
      </c>
    </row>
    <row r="128" spans="1:7">
      <c r="A128" s="3270" t="s">
        <v>25</v>
      </c>
      <c r="B128" s="3259" t="s">
        <v>128</v>
      </c>
      <c r="C128" s="3260">
        <v>0.11600000000000001</v>
      </c>
      <c r="D128" s="3260">
        <v>0.11700000000000001</v>
      </c>
      <c r="E128" s="3260">
        <v>0.104</v>
      </c>
      <c r="F128" s="3260">
        <v>0.13</v>
      </c>
      <c r="G128" s="3261">
        <v>0.11700000000000001</v>
      </c>
    </row>
    <row r="129" spans="1:7">
      <c r="A129" s="3270" t="s">
        <v>25</v>
      </c>
      <c r="B129" s="3259" t="s">
        <v>137</v>
      </c>
      <c r="C129" s="3260">
        <v>0.107</v>
      </c>
      <c r="D129" s="3260">
        <v>0.108</v>
      </c>
      <c r="E129" s="3260">
        <v>0.1</v>
      </c>
      <c r="F129" s="3260">
        <v>0.13</v>
      </c>
      <c r="G129" s="3261">
        <v>0.11700000000000001</v>
      </c>
    </row>
    <row r="130" spans="1:7">
      <c r="A130" s="3270" t="s">
        <v>25</v>
      </c>
      <c r="B130" s="3259" t="s">
        <v>146</v>
      </c>
      <c r="C130" s="3260">
        <v>0.13</v>
      </c>
      <c r="D130" s="3260">
        <v>0.13</v>
      </c>
      <c r="E130" s="3260">
        <v>0.126</v>
      </c>
      <c r="F130" s="3260">
        <v>0.13</v>
      </c>
      <c r="G130" s="3261">
        <v>0.13</v>
      </c>
    </row>
    <row r="131" spans="1:7">
      <c r="A131" s="3270" t="s">
        <v>25</v>
      </c>
      <c r="B131" s="3259" t="s">
        <v>155</v>
      </c>
      <c r="C131" s="3260">
        <v>0.13</v>
      </c>
      <c r="D131" s="3260">
        <v>0.13</v>
      </c>
      <c r="E131" s="3260">
        <v>0.13</v>
      </c>
      <c r="F131" s="3260">
        <v>0.13</v>
      </c>
      <c r="G131" s="3261">
        <v>0.13</v>
      </c>
    </row>
    <row r="132" spans="1:7">
      <c r="A132" s="3270" t="s">
        <v>25</v>
      </c>
      <c r="B132" s="3259" t="s">
        <v>162</v>
      </c>
      <c r="C132" s="3260">
        <v>0.13</v>
      </c>
      <c r="D132" s="3260">
        <v>0.13</v>
      </c>
      <c r="E132" s="3260">
        <v>0.126</v>
      </c>
      <c r="F132" s="3260">
        <v>0.13</v>
      </c>
      <c r="G132" s="3261">
        <v>0.13</v>
      </c>
    </row>
    <row r="133" spans="1:7">
      <c r="A133" s="3270" t="s">
        <v>25</v>
      </c>
      <c r="B133" s="3259" t="s">
        <v>168</v>
      </c>
      <c r="C133" s="3260">
        <v>0.111</v>
      </c>
      <c r="D133" s="3260">
        <v>0.111</v>
      </c>
      <c r="E133" s="3260">
        <v>0.10199999999999999</v>
      </c>
      <c r="F133" s="3260">
        <v>0.13</v>
      </c>
      <c r="G133" s="3261">
        <v>0.121</v>
      </c>
    </row>
    <row r="134" spans="1:7">
      <c r="A134" s="3270" t="s">
        <v>25</v>
      </c>
      <c r="B134" s="3259" t="s">
        <v>175</v>
      </c>
      <c r="C134" s="3260">
        <v>0.121</v>
      </c>
      <c r="D134" s="3260">
        <v>0.121</v>
      </c>
      <c r="E134" s="3260">
        <v>0.1</v>
      </c>
      <c r="F134" s="3260">
        <v>0.13</v>
      </c>
      <c r="G134" s="3261">
        <v>0.123</v>
      </c>
    </row>
    <row r="135" spans="1:7">
      <c r="A135" s="3270" t="s">
        <v>25</v>
      </c>
      <c r="B135" s="3259" t="s">
        <v>185</v>
      </c>
      <c r="C135" s="3260">
        <v>0.105</v>
      </c>
      <c r="D135" s="3260">
        <v>0.106</v>
      </c>
      <c r="E135" s="3260">
        <v>0.1</v>
      </c>
      <c r="F135" s="3260">
        <v>0.13</v>
      </c>
      <c r="G135" s="3261">
        <v>0.115</v>
      </c>
    </row>
    <row r="136" spans="1:7">
      <c r="A136" s="3270" t="s">
        <v>25</v>
      </c>
      <c r="B136" s="3259" t="s">
        <v>194</v>
      </c>
      <c r="C136" s="3260">
        <v>0.127</v>
      </c>
      <c r="D136" s="3260">
        <v>0.127</v>
      </c>
      <c r="E136" s="3260">
        <v>0.121</v>
      </c>
      <c r="F136" s="3260">
        <v>0.123</v>
      </c>
      <c r="G136" s="3261">
        <v>0.129</v>
      </c>
    </row>
    <row r="137" spans="1:7">
      <c r="A137" s="3270" t="s">
        <v>25</v>
      </c>
      <c r="B137" s="3259" t="s">
        <v>201</v>
      </c>
      <c r="C137" s="3260">
        <v>0.13</v>
      </c>
      <c r="D137" s="3260">
        <v>0.13</v>
      </c>
      <c r="E137" s="3260">
        <v>0.129</v>
      </c>
      <c r="F137" s="3260">
        <v>0.13</v>
      </c>
      <c r="G137" s="3261">
        <v>0.13</v>
      </c>
    </row>
    <row r="138" spans="1:7">
      <c r="A138" s="3270" t="s">
        <v>25</v>
      </c>
      <c r="B138" s="3259" t="s">
        <v>208</v>
      </c>
      <c r="C138" s="3260">
        <v>0.13</v>
      </c>
      <c r="D138" s="3260">
        <v>0.13</v>
      </c>
      <c r="E138" s="3260">
        <v>0.125</v>
      </c>
      <c r="F138" s="3260">
        <v>0.13</v>
      </c>
      <c r="G138" s="3261">
        <v>0.13</v>
      </c>
    </row>
    <row r="139" spans="1:7">
      <c r="A139" s="3270" t="s">
        <v>25</v>
      </c>
      <c r="B139" s="3259" t="s">
        <v>214</v>
      </c>
      <c r="C139" s="3260">
        <v>0.13</v>
      </c>
      <c r="D139" s="3260">
        <v>0.13</v>
      </c>
      <c r="E139" s="3260">
        <v>0.126</v>
      </c>
      <c r="F139" s="3260">
        <v>0.13</v>
      </c>
      <c r="G139" s="3261">
        <v>0.13</v>
      </c>
    </row>
    <row r="140" spans="1:7">
      <c r="A140" s="3270" t="s">
        <v>25</v>
      </c>
      <c r="B140" s="3259" t="s">
        <v>222</v>
      </c>
      <c r="C140" s="3260">
        <v>0.1</v>
      </c>
      <c r="D140" s="3260">
        <v>0.1</v>
      </c>
      <c r="E140" s="3260">
        <v>0.1</v>
      </c>
      <c r="F140" s="3260">
        <v>0.123</v>
      </c>
      <c r="G140" s="3261">
        <v>0.107</v>
      </c>
    </row>
    <row r="141" spans="1:7">
      <c r="A141" s="3270" t="s">
        <v>25</v>
      </c>
      <c r="B141" s="3259" t="s">
        <v>230</v>
      </c>
      <c r="C141" s="3260">
        <v>0.127</v>
      </c>
      <c r="D141" s="3260">
        <v>0.127</v>
      </c>
      <c r="E141" s="3260">
        <v>0.122</v>
      </c>
      <c r="F141" s="3260">
        <v>0.1</v>
      </c>
      <c r="G141" s="3261">
        <v>0.129</v>
      </c>
    </row>
    <row r="142" spans="1:7">
      <c r="A142" s="3270" t="s">
        <v>25</v>
      </c>
      <c r="B142" s="3259" t="s">
        <v>235</v>
      </c>
      <c r="C142" s="3260">
        <v>0.121</v>
      </c>
      <c r="D142" s="3260">
        <v>0.122</v>
      </c>
      <c r="E142" s="3260">
        <v>0.1</v>
      </c>
      <c r="F142" s="3260">
        <v>0.123</v>
      </c>
      <c r="G142" s="3261">
        <v>0.123</v>
      </c>
    </row>
    <row r="143" spans="1:7">
      <c r="A143" s="3270" t="s">
        <v>25</v>
      </c>
      <c r="B143" s="3259" t="s">
        <v>244</v>
      </c>
      <c r="C143" s="3260">
        <v>0.1</v>
      </c>
      <c r="D143" s="3260">
        <v>0.1</v>
      </c>
      <c r="E143" s="3260">
        <v>0.1</v>
      </c>
      <c r="F143" s="3260">
        <v>0.13</v>
      </c>
      <c r="G143" s="3261">
        <v>0.1</v>
      </c>
    </row>
    <row r="144" spans="1:7">
      <c r="A144" s="3270" t="s">
        <v>25</v>
      </c>
      <c r="B144" s="3259" t="s">
        <v>251</v>
      </c>
      <c r="C144" s="3260">
        <v>0.106</v>
      </c>
      <c r="D144" s="3260">
        <v>0.105</v>
      </c>
      <c r="E144" s="3260">
        <v>0.1</v>
      </c>
      <c r="F144" s="3260">
        <v>0.13</v>
      </c>
      <c r="G144" s="3261">
        <v>0.11799999999999999</v>
      </c>
    </row>
    <row r="145" spans="1:7">
      <c r="A145" s="3270" t="s">
        <v>25</v>
      </c>
      <c r="B145" s="3259" t="s">
        <v>259</v>
      </c>
      <c r="C145" s="3260">
        <v>0.123</v>
      </c>
      <c r="D145" s="3260">
        <v>0.123</v>
      </c>
      <c r="E145" s="3260">
        <v>0.11700000000000001</v>
      </c>
      <c r="F145" s="3260">
        <v>0.13</v>
      </c>
      <c r="G145" s="3261">
        <v>0.126</v>
      </c>
    </row>
    <row r="146" spans="1:7">
      <c r="A146" s="3270" t="s">
        <v>25</v>
      </c>
      <c r="B146" s="3259" t="s">
        <v>266</v>
      </c>
      <c r="C146" s="3260">
        <v>0.127</v>
      </c>
      <c r="D146" s="3260">
        <v>0.127</v>
      </c>
      <c r="E146" s="3260">
        <v>0.12</v>
      </c>
      <c r="F146" s="3271"/>
      <c r="G146" s="3261">
        <v>0.129</v>
      </c>
    </row>
    <row r="147" spans="1:7">
      <c r="A147" s="3270" t="s">
        <v>25</v>
      </c>
      <c r="B147" s="3259" t="s">
        <v>270</v>
      </c>
      <c r="C147" s="3260">
        <v>0.13</v>
      </c>
      <c r="D147" s="3260">
        <v>0.13</v>
      </c>
      <c r="E147" s="3260">
        <v>0.126</v>
      </c>
      <c r="F147" s="3271"/>
      <c r="G147" s="3261">
        <v>0.13</v>
      </c>
    </row>
    <row r="148" spans="1:7">
      <c r="A148" s="3270" t="s">
        <v>25</v>
      </c>
      <c r="B148" s="3259" t="s">
        <v>2929</v>
      </c>
      <c r="C148" s="3260">
        <v>0.13</v>
      </c>
      <c r="D148" s="3260">
        <v>0.13</v>
      </c>
      <c r="E148" s="3260">
        <v>0.13</v>
      </c>
      <c r="F148" s="3271"/>
      <c r="G148" s="3261">
        <v>0.13</v>
      </c>
    </row>
    <row r="149" spans="1:7">
      <c r="A149" s="3270" t="s">
        <v>25</v>
      </c>
      <c r="B149" s="3259" t="s">
        <v>2933</v>
      </c>
      <c r="C149" s="3260">
        <v>0.13</v>
      </c>
      <c r="D149" s="3260">
        <v>0.13</v>
      </c>
      <c r="E149" s="3260">
        <v>0.13</v>
      </c>
      <c r="F149" s="3260">
        <v>0.13</v>
      </c>
      <c r="G149" s="3261">
        <v>0.13</v>
      </c>
    </row>
    <row r="150" spans="1:7">
      <c r="A150" s="3270" t="s">
        <v>25</v>
      </c>
      <c r="B150" s="3259" t="s">
        <v>288</v>
      </c>
      <c r="C150" s="3260">
        <v>0.13</v>
      </c>
      <c r="D150" s="3260">
        <v>0.13</v>
      </c>
      <c r="E150" s="3260">
        <v>0.127</v>
      </c>
      <c r="F150" s="3260">
        <v>0.13</v>
      </c>
      <c r="G150" s="3261">
        <v>0.13</v>
      </c>
    </row>
    <row r="151" spans="1:7">
      <c r="A151" s="3270" t="s">
        <v>25</v>
      </c>
      <c r="B151" s="3259" t="s">
        <v>290</v>
      </c>
      <c r="C151" s="3260">
        <v>0.13</v>
      </c>
      <c r="D151" s="3260">
        <v>0.13</v>
      </c>
      <c r="E151" s="3260">
        <v>0.13</v>
      </c>
      <c r="F151" s="3260">
        <v>0.13</v>
      </c>
      <c r="G151" s="3261">
        <v>0.13</v>
      </c>
    </row>
    <row r="152" spans="1:7">
      <c r="A152" s="3270" t="s">
        <v>25</v>
      </c>
      <c r="B152" s="3259" t="s">
        <v>293</v>
      </c>
      <c r="C152" s="3260">
        <v>0.13</v>
      </c>
      <c r="D152" s="3260">
        <v>0.13</v>
      </c>
      <c r="E152" s="3260">
        <v>0.13</v>
      </c>
      <c r="F152" s="3260">
        <v>0.13</v>
      </c>
      <c r="G152" s="3261">
        <v>0.13</v>
      </c>
    </row>
    <row r="153" spans="1:7">
      <c r="A153" s="3270" t="s">
        <v>25</v>
      </c>
      <c r="B153" s="3259" t="s">
        <v>2952</v>
      </c>
      <c r="C153" s="3260">
        <v>0.13</v>
      </c>
      <c r="D153" s="3260">
        <v>0.13</v>
      </c>
      <c r="E153" s="3260">
        <v>0.13</v>
      </c>
      <c r="F153" s="3260">
        <v>0.13</v>
      </c>
      <c r="G153" s="3261">
        <v>0.13</v>
      </c>
    </row>
    <row r="154" spans="1:7">
      <c r="A154" s="3270" t="s">
        <v>25</v>
      </c>
      <c r="B154" s="3259" t="s">
        <v>2959</v>
      </c>
      <c r="C154" s="3260">
        <v>0.121</v>
      </c>
      <c r="D154" s="3260">
        <v>0.121</v>
      </c>
      <c r="E154" s="3260">
        <v>0.105</v>
      </c>
      <c r="F154" s="3260">
        <v>0.121</v>
      </c>
      <c r="G154" s="3261">
        <v>0.123</v>
      </c>
    </row>
    <row r="155" spans="1:7">
      <c r="A155" s="3270" t="s">
        <v>25</v>
      </c>
      <c r="B155" s="3259" t="s">
        <v>2965</v>
      </c>
      <c r="C155" s="3260">
        <v>0.1</v>
      </c>
      <c r="D155" s="3260">
        <v>0.1</v>
      </c>
      <c r="E155" s="3260">
        <v>0.1</v>
      </c>
      <c r="F155" s="3260">
        <v>0.1</v>
      </c>
      <c r="G155" s="3261">
        <v>0.1</v>
      </c>
    </row>
    <row r="156" spans="1:7">
      <c r="A156" s="3270" t="s">
        <v>25</v>
      </c>
      <c r="B156" s="3259" t="s">
        <v>2972</v>
      </c>
      <c r="C156" s="3260">
        <v>0.13</v>
      </c>
      <c r="D156" s="3260">
        <v>0.13</v>
      </c>
      <c r="E156" s="3260">
        <v>0.13</v>
      </c>
      <c r="F156" s="3260">
        <v>0.13</v>
      </c>
      <c r="G156" s="3261">
        <v>0.13</v>
      </c>
    </row>
    <row r="157" spans="1:7">
      <c r="A157" s="3270" t="s">
        <v>25</v>
      </c>
      <c r="B157" s="3259" t="s">
        <v>296</v>
      </c>
      <c r="C157" s="3260">
        <v>0.13</v>
      </c>
      <c r="D157" s="3260">
        <v>0.13</v>
      </c>
      <c r="E157" s="3260">
        <v>0.125</v>
      </c>
      <c r="F157" s="3260">
        <v>0.13</v>
      </c>
      <c r="G157" s="3261">
        <v>0.13</v>
      </c>
    </row>
    <row r="158" spans="1:7">
      <c r="A158" s="3270" t="s">
        <v>25</v>
      </c>
      <c r="B158" s="3259" t="s">
        <v>297</v>
      </c>
      <c r="C158" s="3260">
        <v>0.124</v>
      </c>
      <c r="D158" s="3260">
        <v>0.124</v>
      </c>
      <c r="E158" s="3260">
        <v>0.11700000000000001</v>
      </c>
      <c r="F158" s="3260">
        <v>0.121</v>
      </c>
      <c r="G158" s="3261">
        <v>0.124</v>
      </c>
    </row>
    <row r="159" spans="1:7">
      <c r="A159" s="3270" t="s">
        <v>25</v>
      </c>
      <c r="B159" s="3259" t="s">
        <v>298</v>
      </c>
      <c r="C159" s="3260">
        <v>0.127</v>
      </c>
      <c r="D159" s="3260">
        <v>0.127</v>
      </c>
      <c r="E159" s="3260">
        <v>0.122</v>
      </c>
      <c r="F159" s="3260">
        <v>0.13</v>
      </c>
      <c r="G159" s="3261">
        <v>0.129</v>
      </c>
    </row>
    <row r="160" spans="1:7">
      <c r="A160" s="3270" t="s">
        <v>25</v>
      </c>
      <c r="B160" s="3259" t="s">
        <v>2992</v>
      </c>
      <c r="C160" s="3260">
        <v>0.13</v>
      </c>
      <c r="D160" s="3260">
        <v>0.13</v>
      </c>
      <c r="E160" s="3260">
        <v>0.124</v>
      </c>
      <c r="F160" s="3260">
        <v>0.126</v>
      </c>
      <c r="G160" s="3261">
        <v>0.13</v>
      </c>
    </row>
    <row r="161" spans="1:7">
      <c r="A161" s="3270" t="s">
        <v>25</v>
      </c>
      <c r="B161" s="3259" t="s">
        <v>2997</v>
      </c>
      <c r="C161" s="3260">
        <v>0.13</v>
      </c>
      <c r="D161" s="3260">
        <v>0.13</v>
      </c>
      <c r="E161" s="3260">
        <v>0.124</v>
      </c>
      <c r="F161" s="3260">
        <v>0.127</v>
      </c>
      <c r="G161" s="3261">
        <v>0.13</v>
      </c>
    </row>
    <row r="162" spans="1:7">
      <c r="A162" s="3270" t="s">
        <v>25</v>
      </c>
      <c r="B162" s="3259" t="s">
        <v>3002</v>
      </c>
      <c r="C162" s="3260">
        <v>0.1</v>
      </c>
      <c r="D162" s="3260">
        <v>0.1</v>
      </c>
      <c r="E162" s="3260">
        <v>0.1</v>
      </c>
      <c r="F162" s="3260">
        <v>0.121</v>
      </c>
      <c r="G162" s="3261">
        <v>0.105</v>
      </c>
    </row>
    <row r="163" spans="1:7">
      <c r="A163" s="3270" t="s">
        <v>25</v>
      </c>
      <c r="B163" s="3259" t="s">
        <v>3007</v>
      </c>
      <c r="C163" s="3260">
        <v>0.1</v>
      </c>
      <c r="D163" s="3260">
        <v>0.1</v>
      </c>
      <c r="E163" s="3260">
        <v>0.1</v>
      </c>
      <c r="F163" s="3260">
        <v>0.1</v>
      </c>
      <c r="G163" s="3261">
        <v>0.1</v>
      </c>
    </row>
    <row r="164" spans="1:7">
      <c r="A164" s="3270" t="s">
        <v>25</v>
      </c>
      <c r="B164" s="3259" t="s">
        <v>3012</v>
      </c>
      <c r="C164" s="3276"/>
      <c r="D164" s="3276"/>
      <c r="E164" s="3276"/>
      <c r="F164" s="3260">
        <v>0.1</v>
      </c>
      <c r="G164" s="3272"/>
    </row>
    <row r="165" spans="1:7">
      <c r="A165" s="3270" t="s">
        <v>25</v>
      </c>
      <c r="B165" s="3259" t="s">
        <v>3183</v>
      </c>
      <c r="C165" s="3260">
        <v>0.126</v>
      </c>
      <c r="D165" s="3260">
        <v>0.126</v>
      </c>
      <c r="E165" s="3260">
        <v>0.11899999999999999</v>
      </c>
      <c r="F165" s="3260">
        <v>0.13</v>
      </c>
      <c r="G165" s="3261">
        <v>0.128</v>
      </c>
    </row>
    <row r="166" spans="1:7">
      <c r="A166" s="3270" t="s">
        <v>25</v>
      </c>
      <c r="B166" s="3259" t="s">
        <v>3022</v>
      </c>
      <c r="C166" s="3260">
        <v>0.129</v>
      </c>
      <c r="D166" s="3260">
        <v>0.129</v>
      </c>
      <c r="E166" s="3260">
        <v>0.123</v>
      </c>
      <c r="F166" s="3260">
        <v>0.128</v>
      </c>
      <c r="G166" s="3261">
        <v>0.13</v>
      </c>
    </row>
    <row r="167" spans="1:7">
      <c r="A167" s="3270" t="s">
        <v>25</v>
      </c>
      <c r="B167" s="3259" t="s">
        <v>3026</v>
      </c>
      <c r="C167" s="3260">
        <v>0.125</v>
      </c>
      <c r="D167" s="3260">
        <v>0.125</v>
      </c>
      <c r="E167" s="3260">
        <v>0.11700000000000001</v>
      </c>
      <c r="F167" s="3260">
        <v>0.13</v>
      </c>
      <c r="G167" s="3261">
        <v>0.126</v>
      </c>
    </row>
    <row r="168" spans="1:7">
      <c r="A168" s="3270" t="s">
        <v>25</v>
      </c>
      <c r="B168" s="3259" t="s">
        <v>3031</v>
      </c>
      <c r="C168" s="3260">
        <v>0.128</v>
      </c>
      <c r="D168" s="3260">
        <v>0.128</v>
      </c>
      <c r="E168" s="3260">
        <v>0.123</v>
      </c>
      <c r="F168" s="3271"/>
      <c r="G168" s="3261">
        <v>0.13</v>
      </c>
    </row>
    <row r="169" spans="1:7">
      <c r="A169" s="3270" t="s">
        <v>25</v>
      </c>
      <c r="B169" s="3259" t="s">
        <v>3184</v>
      </c>
      <c r="C169" s="3276"/>
      <c r="D169" s="3276"/>
      <c r="E169" s="3276"/>
      <c r="F169" s="3260">
        <v>0.05</v>
      </c>
      <c r="G169" s="3272"/>
    </row>
    <row r="170" spans="1:7">
      <c r="A170" s="3270" t="s">
        <v>25</v>
      </c>
      <c r="B170" s="3259" t="s">
        <v>3185</v>
      </c>
      <c r="C170" s="3276"/>
      <c r="D170" s="3276"/>
      <c r="E170" s="3276"/>
      <c r="F170" s="3260">
        <v>0.05</v>
      </c>
      <c r="G170" s="3272"/>
    </row>
    <row r="171" spans="1:7">
      <c r="A171" s="3270" t="s">
        <v>25</v>
      </c>
      <c r="B171" s="3259" t="s">
        <v>3186</v>
      </c>
      <c r="C171" s="3276"/>
      <c r="D171" s="3276"/>
      <c r="E171" s="3276"/>
      <c r="F171" s="3260">
        <v>0.05</v>
      </c>
      <c r="G171" s="3277"/>
    </row>
    <row r="172" spans="1:7">
      <c r="A172" s="3270" t="s">
        <v>25</v>
      </c>
      <c r="B172" s="3259" t="s">
        <v>3187</v>
      </c>
      <c r="C172" s="3276"/>
      <c r="D172" s="3276"/>
      <c r="E172" s="3276"/>
      <c r="F172" s="3260">
        <v>0.05</v>
      </c>
      <c r="G172" s="3277"/>
    </row>
    <row r="173" spans="1:7">
      <c r="A173" s="3270" t="s">
        <v>25</v>
      </c>
      <c r="B173" s="3259" t="s">
        <v>3188</v>
      </c>
      <c r="C173" s="3276"/>
      <c r="D173" s="3276"/>
      <c r="E173" s="3276"/>
      <c r="F173" s="3260">
        <v>0.05</v>
      </c>
      <c r="G173" s="3272"/>
    </row>
    <row r="174" spans="1:7">
      <c r="A174" s="3270" t="s">
        <v>25</v>
      </c>
      <c r="B174" s="3259" t="s">
        <v>3189</v>
      </c>
      <c r="C174" s="3276"/>
      <c r="D174" s="3276"/>
      <c r="E174" s="3276"/>
      <c r="F174" s="3260">
        <v>0.05</v>
      </c>
      <c r="G174" s="3272"/>
    </row>
    <row r="175" spans="1:7">
      <c r="A175" s="3270" t="s">
        <v>25</v>
      </c>
      <c r="B175" s="3259" t="s">
        <v>3190</v>
      </c>
      <c r="C175" s="3276"/>
      <c r="D175" s="3276"/>
      <c r="E175" s="3276"/>
      <c r="F175" s="3260">
        <v>0.05</v>
      </c>
      <c r="G175" s="3272"/>
    </row>
    <row r="176" spans="1:7">
      <c r="A176" s="3270" t="s">
        <v>25</v>
      </c>
      <c r="B176" s="3259" t="s">
        <v>3191</v>
      </c>
      <c r="C176" s="3276"/>
      <c r="D176" s="3276"/>
      <c r="E176" s="3276"/>
      <c r="F176" s="3260">
        <v>0.05</v>
      </c>
      <c r="G176" s="3272"/>
    </row>
    <row r="177" spans="1:7">
      <c r="A177" s="3270" t="s">
        <v>25</v>
      </c>
      <c r="B177" s="3259" t="s">
        <v>3192</v>
      </c>
      <c r="C177" s="3271"/>
      <c r="D177" s="3271"/>
      <c r="E177" s="3271"/>
      <c r="F177" s="3260">
        <v>0.05</v>
      </c>
      <c r="G177" s="3277"/>
    </row>
    <row r="178" spans="1:7">
      <c r="A178" s="3270" t="s">
        <v>25</v>
      </c>
      <c r="B178" s="3259" t="s">
        <v>3193</v>
      </c>
      <c r="C178" s="3271"/>
      <c r="D178" s="3271"/>
      <c r="E178" s="3271"/>
      <c r="F178" s="3260">
        <v>0.05</v>
      </c>
      <c r="G178" s="3277"/>
    </row>
    <row r="179" spans="1:7">
      <c r="A179" s="3270" t="s">
        <v>25</v>
      </c>
      <c r="B179" s="3259" t="s">
        <v>3194</v>
      </c>
      <c r="C179" s="3271"/>
      <c r="D179" s="3271"/>
      <c r="E179" s="3271"/>
      <c r="F179" s="3260">
        <v>0.05</v>
      </c>
      <c r="G179" s="3277"/>
    </row>
    <row r="180" spans="1:7">
      <c r="A180" s="3270" t="s">
        <v>25</v>
      </c>
      <c r="B180" s="3259" t="s">
        <v>3195</v>
      </c>
      <c r="C180" s="3271"/>
      <c r="D180" s="3271"/>
      <c r="E180" s="3271"/>
      <c r="F180" s="3260">
        <v>0.05</v>
      </c>
      <c r="G180" s="3277"/>
    </row>
    <row r="181" spans="1:7">
      <c r="A181" s="3270" t="s">
        <v>25</v>
      </c>
      <c r="B181" s="3259" t="s">
        <v>3196</v>
      </c>
      <c r="C181" s="3271"/>
      <c r="D181" s="3271"/>
      <c r="E181" s="3271"/>
      <c r="F181" s="3260">
        <v>0.05</v>
      </c>
      <c r="G181" s="3277"/>
    </row>
    <row r="182" spans="1:7">
      <c r="A182" s="3270" t="s">
        <v>25</v>
      </c>
      <c r="B182" s="3259" t="s">
        <v>3197</v>
      </c>
      <c r="C182" s="3271"/>
      <c r="D182" s="3271"/>
      <c r="E182" s="3271"/>
      <c r="F182" s="3260">
        <v>0.05</v>
      </c>
      <c r="G182" s="3277"/>
    </row>
    <row r="183" spans="1:7">
      <c r="A183" s="3270" t="s">
        <v>25</v>
      </c>
      <c r="B183" s="3259" t="s">
        <v>3198</v>
      </c>
      <c r="C183" s="3271"/>
      <c r="D183" s="3271"/>
      <c r="E183" s="3271"/>
      <c r="F183" s="3260">
        <v>0.05</v>
      </c>
      <c r="G183" s="3277"/>
    </row>
    <row r="184" spans="1:7">
      <c r="A184" s="3270" t="s">
        <v>25</v>
      </c>
      <c r="B184" s="3259" t="s">
        <v>3199</v>
      </c>
      <c r="C184" s="3271"/>
      <c r="D184" s="3271"/>
      <c r="E184" s="3271"/>
      <c r="F184" s="3260">
        <v>0.05</v>
      </c>
      <c r="G184" s="3277"/>
    </row>
    <row r="185" spans="1:7">
      <c r="A185" s="3270" t="s">
        <v>25</v>
      </c>
      <c r="B185" s="3259" t="s">
        <v>3200</v>
      </c>
      <c r="C185" s="3271"/>
      <c r="D185" s="3271"/>
      <c r="E185" s="3271"/>
      <c r="F185" s="3260">
        <v>0.05</v>
      </c>
      <c r="G185" s="3277"/>
    </row>
    <row r="186" spans="1:7">
      <c r="A186" s="3270" t="s">
        <v>25</v>
      </c>
      <c r="B186" s="3259" t="s">
        <v>3201</v>
      </c>
      <c r="C186" s="3271"/>
      <c r="D186" s="3271"/>
      <c r="E186" s="3271"/>
      <c r="F186" s="3260">
        <v>0.05</v>
      </c>
      <c r="G186" s="3277"/>
    </row>
    <row r="187" spans="1:7">
      <c r="A187" s="3270" t="s">
        <v>25</v>
      </c>
      <c r="B187" s="3259" t="s">
        <v>3202</v>
      </c>
      <c r="C187" s="3271"/>
      <c r="D187" s="3271"/>
      <c r="E187" s="3271"/>
      <c r="F187" s="3260">
        <v>0.05</v>
      </c>
      <c r="G187" s="3277"/>
    </row>
    <row r="188" spans="1:7">
      <c r="A188" s="3270" t="s">
        <v>25</v>
      </c>
      <c r="B188" s="3259" t="s">
        <v>3203</v>
      </c>
      <c r="C188" s="3271"/>
      <c r="D188" s="3271"/>
      <c r="E188" s="3271"/>
      <c r="F188" s="3260">
        <v>0.05</v>
      </c>
      <c r="G188" s="3277"/>
    </row>
    <row r="189" spans="1:7" ht="14.25" thickBot="1">
      <c r="A189" s="3273" t="s">
        <v>25</v>
      </c>
      <c r="B189" s="3263" t="s">
        <v>3204</v>
      </c>
      <c r="C189" s="3265"/>
      <c r="D189" s="3265"/>
      <c r="E189" s="3265"/>
      <c r="F189" s="3264">
        <v>0.05</v>
      </c>
      <c r="G189" s="3278"/>
    </row>
    <row r="190" spans="1:7">
      <c r="A190" s="3269" t="s">
        <v>300</v>
      </c>
      <c r="B190" s="3255" t="s">
        <v>2860</v>
      </c>
      <c r="C190" s="3256">
        <v>0.124</v>
      </c>
      <c r="D190" s="3256">
        <v>0.124</v>
      </c>
      <c r="E190" s="3256">
        <v>0.129</v>
      </c>
      <c r="F190" s="3256">
        <v>0.13</v>
      </c>
      <c r="G190" s="3257">
        <v>0.127</v>
      </c>
    </row>
    <row r="191" spans="1:7">
      <c r="A191" s="3270" t="s">
        <v>300</v>
      </c>
      <c r="B191" s="3259" t="s">
        <v>129</v>
      </c>
      <c r="C191" s="3260">
        <v>0.13</v>
      </c>
      <c r="D191" s="3260">
        <v>0.13</v>
      </c>
      <c r="E191" s="3260">
        <v>0.13</v>
      </c>
      <c r="F191" s="3260">
        <v>0.13</v>
      </c>
      <c r="G191" s="3261">
        <v>0.13</v>
      </c>
    </row>
    <row r="192" spans="1:7">
      <c r="A192" s="3270" t="s">
        <v>300</v>
      </c>
      <c r="B192" s="3259" t="s">
        <v>138</v>
      </c>
      <c r="C192" s="3260">
        <v>0.13</v>
      </c>
      <c r="D192" s="3260">
        <v>0.13</v>
      </c>
      <c r="E192" s="3260">
        <v>0.13</v>
      </c>
      <c r="F192" s="3260">
        <v>0.13</v>
      </c>
      <c r="G192" s="3261">
        <v>0.13</v>
      </c>
    </row>
    <row r="193" spans="1:7">
      <c r="A193" s="3270" t="s">
        <v>300</v>
      </c>
      <c r="B193" s="3259" t="s">
        <v>147</v>
      </c>
      <c r="C193" s="3260">
        <v>0.13</v>
      </c>
      <c r="D193" s="3260">
        <v>0.13</v>
      </c>
      <c r="E193" s="3260">
        <v>0.13</v>
      </c>
      <c r="F193" s="3260">
        <v>0.13</v>
      </c>
      <c r="G193" s="3261">
        <v>0.13</v>
      </c>
    </row>
    <row r="194" spans="1:7">
      <c r="A194" s="3270" t="s">
        <v>300</v>
      </c>
      <c r="B194" s="3259" t="s">
        <v>156</v>
      </c>
      <c r="C194" s="3260">
        <v>0.123</v>
      </c>
      <c r="D194" s="3260">
        <v>0.123</v>
      </c>
      <c r="E194" s="3260">
        <v>0.128</v>
      </c>
      <c r="F194" s="3260">
        <v>0.13</v>
      </c>
      <c r="G194" s="3261">
        <v>0.126</v>
      </c>
    </row>
    <row r="195" spans="1:7">
      <c r="A195" s="3270" t="s">
        <v>300</v>
      </c>
      <c r="B195" s="3259" t="s">
        <v>163</v>
      </c>
      <c r="C195" s="3260">
        <v>0.127</v>
      </c>
      <c r="D195" s="3260">
        <v>0.127</v>
      </c>
      <c r="E195" s="3260">
        <v>0.121</v>
      </c>
      <c r="F195" s="3260">
        <v>0.129</v>
      </c>
      <c r="G195" s="3261">
        <v>0.129</v>
      </c>
    </row>
    <row r="196" spans="1:7">
      <c r="A196" s="3270" t="s">
        <v>300</v>
      </c>
      <c r="B196" s="3259" t="s">
        <v>169</v>
      </c>
      <c r="C196" s="3260">
        <v>0.127</v>
      </c>
      <c r="D196" s="3260">
        <v>0.128</v>
      </c>
      <c r="E196" s="3260">
        <v>0.122</v>
      </c>
      <c r="F196" s="3260">
        <v>0.13</v>
      </c>
      <c r="G196" s="3261">
        <v>0.129</v>
      </c>
    </row>
    <row r="197" spans="1:7">
      <c r="A197" s="3270" t="s">
        <v>300</v>
      </c>
      <c r="B197" s="3259" t="s">
        <v>176</v>
      </c>
      <c r="C197" s="3260">
        <v>0.126</v>
      </c>
      <c r="D197" s="3260">
        <v>0.126</v>
      </c>
      <c r="E197" s="3260">
        <v>0.11899999999999999</v>
      </c>
      <c r="F197" s="3260">
        <v>0.13</v>
      </c>
      <c r="G197" s="3261">
        <v>0.128</v>
      </c>
    </row>
    <row r="198" spans="1:7">
      <c r="A198" s="3270" t="s">
        <v>300</v>
      </c>
      <c r="B198" s="3259" t="s">
        <v>186</v>
      </c>
      <c r="C198" s="3260">
        <v>0.13</v>
      </c>
      <c r="D198" s="3260">
        <v>0.13</v>
      </c>
      <c r="E198" s="3260">
        <v>0.126</v>
      </c>
      <c r="F198" s="3276"/>
      <c r="G198" s="3261">
        <v>0.13</v>
      </c>
    </row>
    <row r="199" spans="1:7">
      <c r="A199" s="3270" t="s">
        <v>300</v>
      </c>
      <c r="B199" s="3259" t="s">
        <v>2896</v>
      </c>
      <c r="C199" s="3260">
        <v>0.13</v>
      </c>
      <c r="D199" s="3260">
        <v>0.13</v>
      </c>
      <c r="E199" s="3260">
        <v>0.13</v>
      </c>
      <c r="F199" s="3260">
        <v>0.13</v>
      </c>
      <c r="G199" s="3261">
        <v>0.13</v>
      </c>
    </row>
    <row r="200" spans="1:7">
      <c r="A200" s="3270" t="s">
        <v>300</v>
      </c>
      <c r="B200" s="3259" t="s">
        <v>2899</v>
      </c>
      <c r="C200" s="3276"/>
      <c r="D200" s="3276"/>
      <c r="E200" s="3276"/>
      <c r="F200" s="3260">
        <v>0.13</v>
      </c>
      <c r="G200" s="3272"/>
    </row>
    <row r="201" spans="1:7">
      <c r="A201" s="3270" t="s">
        <v>300</v>
      </c>
      <c r="B201" s="3259" t="s">
        <v>2904</v>
      </c>
      <c r="C201" s="3260">
        <v>0.13</v>
      </c>
      <c r="D201" s="3260">
        <v>0.13</v>
      </c>
      <c r="E201" s="3260">
        <v>0.13</v>
      </c>
      <c r="F201" s="3260">
        <v>0.129</v>
      </c>
      <c r="G201" s="3261">
        <v>0.13</v>
      </c>
    </row>
    <row r="202" spans="1:7">
      <c r="A202" s="3270" t="s">
        <v>300</v>
      </c>
      <c r="B202" s="3259" t="s">
        <v>236</v>
      </c>
      <c r="C202" s="3260">
        <v>0.13</v>
      </c>
      <c r="D202" s="3260">
        <v>0.13</v>
      </c>
      <c r="E202" s="3260">
        <v>0.13</v>
      </c>
      <c r="F202" s="3260">
        <v>0.13</v>
      </c>
      <c r="G202" s="3261">
        <v>0.13</v>
      </c>
    </row>
    <row r="203" spans="1:7">
      <c r="A203" s="3270" t="s">
        <v>300</v>
      </c>
      <c r="B203" s="3259" t="s">
        <v>2907</v>
      </c>
      <c r="C203" s="3260">
        <v>0.129</v>
      </c>
      <c r="D203" s="3260">
        <v>0.129</v>
      </c>
      <c r="E203" s="3260">
        <v>0.13</v>
      </c>
      <c r="F203" s="3260">
        <v>0.13</v>
      </c>
      <c r="G203" s="3261">
        <v>0.13</v>
      </c>
    </row>
    <row r="204" spans="1:7">
      <c r="A204" s="3270" t="s">
        <v>300</v>
      </c>
      <c r="B204" s="3259" t="s">
        <v>2910</v>
      </c>
      <c r="C204" s="3260">
        <v>0.129</v>
      </c>
      <c r="D204" s="3260">
        <v>0.129</v>
      </c>
      <c r="E204" s="3260">
        <v>0.123</v>
      </c>
      <c r="F204" s="3260">
        <v>0.13</v>
      </c>
      <c r="G204" s="3261">
        <v>0.13</v>
      </c>
    </row>
    <row r="205" spans="1:7">
      <c r="A205" s="3270" t="s">
        <v>300</v>
      </c>
      <c r="B205" s="3259" t="s">
        <v>2912</v>
      </c>
      <c r="C205" s="3260">
        <v>0.13</v>
      </c>
      <c r="D205" s="3260">
        <v>0.13</v>
      </c>
      <c r="E205" s="3260">
        <v>0.13</v>
      </c>
      <c r="F205" s="3260">
        <v>0.13</v>
      </c>
      <c r="G205" s="3261">
        <v>0.13</v>
      </c>
    </row>
    <row r="206" spans="1:7">
      <c r="A206" s="3270" t="s">
        <v>300</v>
      </c>
      <c r="B206" s="3259" t="s">
        <v>2915</v>
      </c>
      <c r="C206" s="3260">
        <v>0.13</v>
      </c>
      <c r="D206" s="3260">
        <v>0.13</v>
      </c>
      <c r="E206" s="3260">
        <v>0.13</v>
      </c>
      <c r="F206" s="3260">
        <v>0.128</v>
      </c>
      <c r="G206" s="3261">
        <v>0.13</v>
      </c>
    </row>
    <row r="207" spans="1:7">
      <c r="A207" s="3270" t="s">
        <v>300</v>
      </c>
      <c r="B207" s="3259" t="s">
        <v>2917</v>
      </c>
      <c r="C207" s="3260">
        <v>0.13</v>
      </c>
      <c r="D207" s="3260">
        <v>0.13</v>
      </c>
      <c r="E207" s="3260">
        <v>0.13</v>
      </c>
      <c r="F207" s="3260">
        <v>0.13</v>
      </c>
      <c r="G207" s="3261">
        <v>0.13</v>
      </c>
    </row>
    <row r="208" spans="1:7">
      <c r="A208" s="3270" t="s">
        <v>300</v>
      </c>
      <c r="B208" s="3259" t="s">
        <v>2920</v>
      </c>
      <c r="C208" s="3260">
        <v>0.13</v>
      </c>
      <c r="D208" s="3260">
        <v>0.13</v>
      </c>
      <c r="E208" s="3260">
        <v>0.13</v>
      </c>
      <c r="F208" s="3260">
        <v>0.13</v>
      </c>
      <c r="G208" s="3261">
        <v>0.13</v>
      </c>
    </row>
    <row r="209" spans="1:7">
      <c r="A209" s="3270" t="s">
        <v>300</v>
      </c>
      <c r="B209" s="3259" t="s">
        <v>260</v>
      </c>
      <c r="C209" s="3260">
        <v>0.13</v>
      </c>
      <c r="D209" s="3260">
        <v>0.13</v>
      </c>
      <c r="E209" s="3260">
        <v>0.13</v>
      </c>
      <c r="F209" s="3260">
        <v>0.13</v>
      </c>
      <c r="G209" s="3261">
        <v>0.13</v>
      </c>
    </row>
    <row r="210" spans="1:7">
      <c r="A210" s="3270" t="s">
        <v>300</v>
      </c>
      <c r="B210" s="3259" t="s">
        <v>2927</v>
      </c>
      <c r="C210" s="3260">
        <v>0.121</v>
      </c>
      <c r="D210" s="3260">
        <v>0.121</v>
      </c>
      <c r="E210" s="3260">
        <v>0.125</v>
      </c>
      <c r="F210" s="3260">
        <v>0.13</v>
      </c>
      <c r="G210" s="3261">
        <v>0.123</v>
      </c>
    </row>
    <row r="211" spans="1:7">
      <c r="A211" s="3270" t="s">
        <v>300</v>
      </c>
      <c r="B211" s="3259" t="s">
        <v>2930</v>
      </c>
      <c r="C211" s="3260">
        <v>0.123</v>
      </c>
      <c r="D211" s="3260">
        <v>0.123</v>
      </c>
      <c r="E211" s="3260">
        <v>0.127</v>
      </c>
      <c r="F211" s="3260">
        <v>0.115</v>
      </c>
      <c r="G211" s="3261">
        <v>0.126</v>
      </c>
    </row>
    <row r="212" spans="1:7">
      <c r="A212" s="3270" t="s">
        <v>300</v>
      </c>
      <c r="B212" s="3259" t="s">
        <v>281</v>
      </c>
      <c r="C212" s="3260">
        <v>0.126</v>
      </c>
      <c r="D212" s="3260">
        <v>0.126</v>
      </c>
      <c r="E212" s="3260">
        <v>0.13</v>
      </c>
      <c r="F212" s="3260">
        <v>0.13</v>
      </c>
      <c r="G212" s="3261">
        <v>0.129</v>
      </c>
    </row>
    <row r="213" spans="1:7">
      <c r="A213" s="3270" t="s">
        <v>300</v>
      </c>
      <c r="B213" s="3259" t="s">
        <v>284</v>
      </c>
      <c r="C213" s="3260">
        <v>0.129</v>
      </c>
      <c r="D213" s="3260">
        <v>0.13</v>
      </c>
      <c r="E213" s="3260">
        <v>0.127</v>
      </c>
      <c r="F213" s="3260">
        <v>0.13</v>
      </c>
      <c r="G213" s="3261">
        <v>0.13</v>
      </c>
    </row>
    <row r="214" spans="1:7">
      <c r="A214" s="3270" t="s">
        <v>300</v>
      </c>
      <c r="B214" s="3259" t="s">
        <v>2942</v>
      </c>
      <c r="C214" s="3260">
        <v>0.128</v>
      </c>
      <c r="D214" s="3260">
        <v>0.128</v>
      </c>
      <c r="E214" s="3260">
        <v>0.13</v>
      </c>
      <c r="F214" s="3260">
        <v>0.13</v>
      </c>
      <c r="G214" s="3261">
        <v>0.13</v>
      </c>
    </row>
    <row r="215" spans="1:7">
      <c r="A215" s="3270" t="s">
        <v>300</v>
      </c>
      <c r="B215" s="3259" t="s">
        <v>2946</v>
      </c>
      <c r="C215" s="3260">
        <v>0.13</v>
      </c>
      <c r="D215" s="3260">
        <v>0.13</v>
      </c>
      <c r="E215" s="3260">
        <v>0.13</v>
      </c>
      <c r="F215" s="3260">
        <v>0.129</v>
      </c>
      <c r="G215" s="3261">
        <v>0.13</v>
      </c>
    </row>
    <row r="216" spans="1:7">
      <c r="A216" s="3270" t="s">
        <v>300</v>
      </c>
      <c r="B216" s="3259" t="s">
        <v>2953</v>
      </c>
      <c r="C216" s="3260">
        <v>0.13</v>
      </c>
      <c r="D216" s="3260">
        <v>0.13</v>
      </c>
      <c r="E216" s="3260">
        <v>0.13</v>
      </c>
      <c r="F216" s="3260">
        <v>0.13</v>
      </c>
      <c r="G216" s="3261">
        <v>0.13</v>
      </c>
    </row>
    <row r="217" spans="1:7">
      <c r="A217" s="3270" t="s">
        <v>300</v>
      </c>
      <c r="B217" s="3259" t="s">
        <v>2960</v>
      </c>
      <c r="C217" s="3260">
        <v>0.129</v>
      </c>
      <c r="D217" s="3260">
        <v>0.129</v>
      </c>
      <c r="E217" s="3260">
        <v>0.13</v>
      </c>
      <c r="F217" s="3260">
        <v>0.13</v>
      </c>
      <c r="G217" s="3261">
        <v>0.13</v>
      </c>
    </row>
    <row r="218" spans="1:7">
      <c r="A218" s="3270" t="s">
        <v>300</v>
      </c>
      <c r="B218" s="3259" t="s">
        <v>2966</v>
      </c>
      <c r="C218" s="3271"/>
      <c r="D218" s="3271"/>
      <c r="E218" s="3271"/>
      <c r="F218" s="3260">
        <v>0.05</v>
      </c>
      <c r="G218" s="3277"/>
    </row>
    <row r="219" spans="1:7">
      <c r="A219" s="3270" t="s">
        <v>300</v>
      </c>
      <c r="B219" s="3259" t="s">
        <v>2973</v>
      </c>
      <c r="C219" s="3271"/>
      <c r="D219" s="3271"/>
      <c r="E219" s="3271"/>
      <c r="F219" s="3260">
        <v>0.05</v>
      </c>
      <c r="G219" s="3277"/>
    </row>
    <row r="220" spans="1:7">
      <c r="A220" s="3270" t="s">
        <v>300</v>
      </c>
      <c r="B220" s="3259" t="s">
        <v>2979</v>
      </c>
      <c r="C220" s="3271"/>
      <c r="D220" s="3271"/>
      <c r="E220" s="3271"/>
      <c r="F220" s="3260">
        <v>0.05</v>
      </c>
      <c r="G220" s="3277"/>
    </row>
    <row r="221" spans="1:7">
      <c r="A221" s="3270" t="s">
        <v>300</v>
      </c>
      <c r="B221" s="3259" t="s">
        <v>2984</v>
      </c>
      <c r="C221" s="3271"/>
      <c r="D221" s="3271"/>
      <c r="E221" s="3271"/>
      <c r="F221" s="3260">
        <v>0.05</v>
      </c>
      <c r="G221" s="3277"/>
    </row>
    <row r="222" spans="1:7">
      <c r="A222" s="3270" t="s">
        <v>300</v>
      </c>
      <c r="B222" s="3259" t="s">
        <v>2988</v>
      </c>
      <c r="C222" s="3271"/>
      <c r="D222" s="3271"/>
      <c r="E222" s="3271"/>
      <c r="F222" s="3260">
        <v>0.05</v>
      </c>
      <c r="G222" s="3277"/>
    </row>
    <row r="223" spans="1:7">
      <c r="A223" s="3270" t="s">
        <v>300</v>
      </c>
      <c r="B223" s="3259" t="s">
        <v>2993</v>
      </c>
      <c r="C223" s="3271"/>
      <c r="D223" s="3271"/>
      <c r="E223" s="3271"/>
      <c r="F223" s="3260">
        <v>0.05</v>
      </c>
      <c r="G223" s="3277"/>
    </row>
    <row r="224" spans="1:7">
      <c r="A224" s="3270" t="s">
        <v>300</v>
      </c>
      <c r="B224" s="3259" t="s">
        <v>2998</v>
      </c>
      <c r="C224" s="3271"/>
      <c r="D224" s="3271"/>
      <c r="E224" s="3271"/>
      <c r="F224" s="3260">
        <v>0.05</v>
      </c>
      <c r="G224" s="3277"/>
    </row>
    <row r="225" spans="1:7">
      <c r="A225" s="3270" t="s">
        <v>300</v>
      </c>
      <c r="B225" s="3259" t="s">
        <v>3003</v>
      </c>
      <c r="C225" s="3271"/>
      <c r="D225" s="3271"/>
      <c r="E225" s="3271"/>
      <c r="F225" s="3260">
        <v>0.05</v>
      </c>
      <c r="G225" s="3277"/>
    </row>
    <row r="226" spans="1:7">
      <c r="A226" s="3270" t="s">
        <v>300</v>
      </c>
      <c r="B226" s="3259" t="s">
        <v>3205</v>
      </c>
      <c r="C226" s="3271"/>
      <c r="D226" s="3271"/>
      <c r="E226" s="3271"/>
      <c r="F226" s="3260">
        <v>0.05</v>
      </c>
      <c r="G226" s="3277"/>
    </row>
    <row r="227" spans="1:7">
      <c r="A227" s="3270" t="s">
        <v>300</v>
      </c>
      <c r="B227" s="3259" t="s">
        <v>3206</v>
      </c>
      <c r="C227" s="3271"/>
      <c r="D227" s="3271"/>
      <c r="E227" s="3271"/>
      <c r="F227" s="3260">
        <v>0.05</v>
      </c>
      <c r="G227" s="3277"/>
    </row>
    <row r="228" spans="1:7">
      <c r="A228" s="3270" t="s">
        <v>300</v>
      </c>
      <c r="B228" s="3259" t="s">
        <v>3207</v>
      </c>
      <c r="C228" s="3271"/>
      <c r="D228" s="3271"/>
      <c r="E228" s="3271"/>
      <c r="F228" s="3260">
        <v>0.05</v>
      </c>
      <c r="G228" s="3277"/>
    </row>
    <row r="229" spans="1:7">
      <c r="A229" s="3270" t="s">
        <v>300</v>
      </c>
      <c r="B229" s="3259" t="s">
        <v>3208</v>
      </c>
      <c r="C229" s="3271"/>
      <c r="D229" s="3271"/>
      <c r="E229" s="3271"/>
      <c r="F229" s="3260">
        <v>0.05</v>
      </c>
      <c r="G229" s="3277"/>
    </row>
    <row r="230" spans="1:7">
      <c r="A230" s="3270" t="s">
        <v>300</v>
      </c>
      <c r="B230" s="3259" t="s">
        <v>3209</v>
      </c>
      <c r="C230" s="3271"/>
      <c r="D230" s="3271"/>
      <c r="E230" s="3271"/>
      <c r="F230" s="3260">
        <v>0.05</v>
      </c>
      <c r="G230" s="3277"/>
    </row>
    <row r="231" spans="1:7">
      <c r="A231" s="3270" t="s">
        <v>300</v>
      </c>
      <c r="B231" s="3259" t="s">
        <v>3210</v>
      </c>
      <c r="C231" s="3271"/>
      <c r="D231" s="3271"/>
      <c r="E231" s="3271"/>
      <c r="F231" s="3260">
        <v>0.05</v>
      </c>
      <c r="G231" s="3277"/>
    </row>
    <row r="232" spans="1:7">
      <c r="A232" s="3270" t="s">
        <v>300</v>
      </c>
      <c r="B232" s="3259" t="s">
        <v>3211</v>
      </c>
      <c r="C232" s="3271"/>
      <c r="D232" s="3271"/>
      <c r="E232" s="3271"/>
      <c r="F232" s="3260">
        <v>0.05</v>
      </c>
      <c r="G232" s="3277"/>
    </row>
    <row r="233" spans="1:7" ht="14.25" thickBot="1">
      <c r="A233" s="3273" t="s">
        <v>300</v>
      </c>
      <c r="B233" s="3263" t="s">
        <v>3212</v>
      </c>
      <c r="C233" s="3265"/>
      <c r="D233" s="3265"/>
      <c r="E233" s="3265"/>
      <c r="F233" s="3264">
        <v>0.05</v>
      </c>
      <c r="G233" s="3278"/>
    </row>
    <row r="234" spans="1:7">
      <c r="A234" s="3269" t="s">
        <v>301</v>
      </c>
      <c r="B234" s="3255" t="s">
        <v>2861</v>
      </c>
      <c r="C234" s="3256">
        <v>0.13</v>
      </c>
      <c r="D234" s="3256">
        <v>0.128</v>
      </c>
      <c r="E234" s="3256">
        <v>0.14199999999999999</v>
      </c>
      <c r="F234" s="3256">
        <v>0.14699999999999999</v>
      </c>
      <c r="G234" s="3257">
        <v>0.14000000000000001</v>
      </c>
    </row>
    <row r="235" spans="1:7">
      <c r="A235" s="3270" t="s">
        <v>301</v>
      </c>
      <c r="B235" s="3259" t="s">
        <v>130</v>
      </c>
      <c r="C235" s="3260">
        <v>0.13600000000000001</v>
      </c>
      <c r="D235" s="3260">
        <v>0.13800000000000001</v>
      </c>
      <c r="E235" s="3260">
        <v>0.14499999999999999</v>
      </c>
      <c r="F235" s="3260">
        <v>0.14299999999999999</v>
      </c>
      <c r="G235" s="3261">
        <v>0.14099999999999999</v>
      </c>
    </row>
    <row r="236" spans="1:7">
      <c r="A236" s="3270" t="s">
        <v>301</v>
      </c>
      <c r="B236" s="3259" t="s">
        <v>139</v>
      </c>
      <c r="C236" s="3260">
        <v>0.15</v>
      </c>
      <c r="D236" s="3260">
        <v>0.15</v>
      </c>
      <c r="E236" s="3260">
        <v>0.15</v>
      </c>
      <c r="F236" s="3260">
        <v>0.15</v>
      </c>
      <c r="G236" s="3261">
        <v>0.15</v>
      </c>
    </row>
    <row r="237" spans="1:7">
      <c r="A237" s="3270" t="s">
        <v>301</v>
      </c>
      <c r="B237" s="3259" t="s">
        <v>148</v>
      </c>
      <c r="C237" s="3260">
        <v>0.15</v>
      </c>
      <c r="D237" s="3260">
        <v>0.15</v>
      </c>
      <c r="E237" s="3260">
        <v>0.15</v>
      </c>
      <c r="F237" s="3260">
        <v>0.15</v>
      </c>
      <c r="G237" s="3261">
        <v>0.15</v>
      </c>
    </row>
    <row r="238" spans="1:7">
      <c r="A238" s="3270" t="s">
        <v>301</v>
      </c>
      <c r="B238" s="3259" t="s">
        <v>2881</v>
      </c>
      <c r="C238" s="3260">
        <v>0.14899999999999999</v>
      </c>
      <c r="D238" s="3260">
        <v>0.14899999999999999</v>
      </c>
      <c r="E238" s="3260">
        <v>0.15</v>
      </c>
      <c r="F238" s="3260">
        <v>0.15</v>
      </c>
      <c r="G238" s="3261">
        <v>0.15</v>
      </c>
    </row>
    <row r="239" spans="1:7">
      <c r="A239" s="3270" t="s">
        <v>301</v>
      </c>
      <c r="B239" s="3259" t="s">
        <v>2885</v>
      </c>
      <c r="C239" s="3260">
        <v>0.15</v>
      </c>
      <c r="D239" s="3260">
        <v>0.15</v>
      </c>
      <c r="E239" s="3260">
        <v>0.15</v>
      </c>
      <c r="F239" s="3260">
        <v>0.15</v>
      </c>
      <c r="G239" s="3261">
        <v>0.15</v>
      </c>
    </row>
    <row r="240" spans="1:7">
      <c r="A240" s="3270" t="s">
        <v>301</v>
      </c>
      <c r="B240" s="3259" t="s">
        <v>2890</v>
      </c>
      <c r="C240" s="3260">
        <v>0.15</v>
      </c>
      <c r="D240" s="3260">
        <v>0.15</v>
      </c>
      <c r="E240" s="3260">
        <v>0.15</v>
      </c>
      <c r="F240" s="3260">
        <v>0.15</v>
      </c>
      <c r="G240" s="3261">
        <v>0.15</v>
      </c>
    </row>
    <row r="241" spans="1:7">
      <c r="A241" s="3270" t="s">
        <v>301</v>
      </c>
      <c r="B241" s="3259" t="s">
        <v>2894</v>
      </c>
      <c r="C241" s="3260">
        <v>0.14099999999999999</v>
      </c>
      <c r="D241" s="3260">
        <v>0.14199999999999999</v>
      </c>
      <c r="E241" s="3260">
        <v>0.14899999999999999</v>
      </c>
      <c r="F241" s="3260">
        <v>0.15</v>
      </c>
      <c r="G241" s="3261">
        <v>0.14399999999999999</v>
      </c>
    </row>
    <row r="242" spans="1:7">
      <c r="A242" s="3270" t="s">
        <v>301</v>
      </c>
      <c r="B242" s="3259" t="s">
        <v>177</v>
      </c>
      <c r="C242" s="3260">
        <v>0.14099999999999999</v>
      </c>
      <c r="D242" s="3260">
        <v>0.14199999999999999</v>
      </c>
      <c r="E242" s="3260">
        <v>0.14799999999999999</v>
      </c>
      <c r="F242" s="3260">
        <v>0.127</v>
      </c>
      <c r="G242" s="3261">
        <v>0.14399999999999999</v>
      </c>
    </row>
    <row r="243" spans="1:7">
      <c r="A243" s="3270" t="s">
        <v>301</v>
      </c>
      <c r="B243" s="3259" t="s">
        <v>187</v>
      </c>
      <c r="C243" s="3260">
        <v>0.14699999999999999</v>
      </c>
      <c r="D243" s="3260">
        <v>0.14699999999999999</v>
      </c>
      <c r="E243" s="3260">
        <v>0.15</v>
      </c>
      <c r="F243" s="3260">
        <v>0.15</v>
      </c>
      <c r="G243" s="3261">
        <v>0.14899999999999999</v>
      </c>
    </row>
    <row r="244" spans="1:7">
      <c r="A244" s="3270" t="s">
        <v>301</v>
      </c>
      <c r="B244" s="3259" t="s">
        <v>2900</v>
      </c>
      <c r="C244" s="3260">
        <v>0.15</v>
      </c>
      <c r="D244" s="3260">
        <v>0.15</v>
      </c>
      <c r="E244" s="3260">
        <v>0.15</v>
      </c>
      <c r="F244" s="3260">
        <v>0.15</v>
      </c>
      <c r="G244" s="3261">
        <v>0.15</v>
      </c>
    </row>
    <row r="245" spans="1:7">
      <c r="A245" s="3270" t="s">
        <v>301</v>
      </c>
      <c r="B245" s="3259" t="s">
        <v>202</v>
      </c>
      <c r="C245" s="3260">
        <v>0.14199999999999999</v>
      </c>
      <c r="D245" s="3260">
        <v>0.14199999999999999</v>
      </c>
      <c r="E245" s="3260">
        <v>0.15</v>
      </c>
      <c r="F245" s="3260">
        <v>0.15</v>
      </c>
      <c r="G245" s="3261">
        <v>0.14499999999999999</v>
      </c>
    </row>
    <row r="246" spans="1:7">
      <c r="A246" s="3270" t="s">
        <v>301</v>
      </c>
      <c r="B246" s="3259" t="s">
        <v>209</v>
      </c>
      <c r="C246" s="3260">
        <v>0.14199999999999999</v>
      </c>
      <c r="D246" s="3260">
        <v>0.14299999999999999</v>
      </c>
      <c r="E246" s="3260">
        <v>0.15</v>
      </c>
      <c r="F246" s="3260">
        <v>0.14199999999999999</v>
      </c>
      <c r="G246" s="3261">
        <v>0.14399999999999999</v>
      </c>
    </row>
    <row r="247" spans="1:7">
      <c r="A247" s="3270" t="s">
        <v>301</v>
      </c>
      <c r="B247" s="3259" t="s">
        <v>2908</v>
      </c>
      <c r="C247" s="3260">
        <v>0.14899999999999999</v>
      </c>
      <c r="D247" s="3260">
        <v>0.14899999999999999</v>
      </c>
      <c r="E247" s="3260">
        <v>0.15</v>
      </c>
      <c r="F247" s="3260">
        <v>0.15</v>
      </c>
      <c r="G247" s="3261">
        <v>0.15</v>
      </c>
    </row>
    <row r="248" spans="1:7">
      <c r="A248" s="3270" t="s">
        <v>301</v>
      </c>
      <c r="B248" s="3259" t="s">
        <v>223</v>
      </c>
      <c r="C248" s="3260">
        <v>0.14399999999999999</v>
      </c>
      <c r="D248" s="3260">
        <v>0.14399999999999999</v>
      </c>
      <c r="E248" s="3260">
        <v>0.14899999999999999</v>
      </c>
      <c r="F248" s="3260">
        <v>0.14799999999999999</v>
      </c>
      <c r="G248" s="3261">
        <v>0.14599999999999999</v>
      </c>
    </row>
    <row r="249" spans="1:7">
      <c r="A249" s="3270" t="s">
        <v>301</v>
      </c>
      <c r="B249" s="3259" t="s">
        <v>2913</v>
      </c>
      <c r="C249" s="3260">
        <v>0.14000000000000001</v>
      </c>
      <c r="D249" s="3260">
        <v>0.14000000000000001</v>
      </c>
      <c r="E249" s="3260">
        <v>0.14699999999999999</v>
      </c>
      <c r="F249" s="3260">
        <v>0.14899999999999999</v>
      </c>
      <c r="G249" s="3261">
        <v>0.14199999999999999</v>
      </c>
    </row>
    <row r="250" spans="1:7">
      <c r="A250" s="3270" t="s">
        <v>301</v>
      </c>
      <c r="B250" s="3259" t="s">
        <v>237</v>
      </c>
      <c r="C250" s="3260">
        <v>0.14399999999999999</v>
      </c>
      <c r="D250" s="3260">
        <v>0.14299999999999999</v>
      </c>
      <c r="E250" s="3260">
        <v>0.14899999999999999</v>
      </c>
      <c r="F250" s="3260">
        <v>0.15</v>
      </c>
      <c r="G250" s="3261">
        <v>0.14599999999999999</v>
      </c>
    </row>
    <row r="251" spans="1:7">
      <c r="A251" s="3270" t="s">
        <v>301</v>
      </c>
      <c r="B251" s="3259" t="s">
        <v>245</v>
      </c>
      <c r="C251" s="3276"/>
      <c r="D251" s="3271"/>
      <c r="E251" s="3271"/>
      <c r="F251" s="3260">
        <v>0.1</v>
      </c>
      <c r="G251" s="3277"/>
    </row>
    <row r="252" spans="1:7">
      <c r="A252" s="3270" t="s">
        <v>301</v>
      </c>
      <c r="B252" s="3259" t="s">
        <v>2921</v>
      </c>
      <c r="C252" s="3260">
        <v>0.14399999999999999</v>
      </c>
      <c r="D252" s="3260">
        <v>0.14399999999999999</v>
      </c>
      <c r="E252" s="3260">
        <v>0.15</v>
      </c>
      <c r="F252" s="3260">
        <v>0.14899999999999999</v>
      </c>
      <c r="G252" s="3261">
        <v>0.14599999999999999</v>
      </c>
    </row>
    <row r="253" spans="1:7">
      <c r="A253" s="3270" t="s">
        <v>301</v>
      </c>
      <c r="B253" s="3259" t="s">
        <v>279</v>
      </c>
      <c r="C253" s="3260">
        <v>0.14199999999999999</v>
      </c>
      <c r="D253" s="3260">
        <v>0.14199999999999999</v>
      </c>
      <c r="E253" s="3260">
        <v>0.14599999999999999</v>
      </c>
      <c r="F253" s="3260">
        <v>0.14799999999999999</v>
      </c>
      <c r="G253" s="3261">
        <v>0.14499999999999999</v>
      </c>
    </row>
    <row r="254" spans="1:7">
      <c r="A254" s="3270" t="s">
        <v>301</v>
      </c>
      <c r="B254" s="3259" t="s">
        <v>282</v>
      </c>
      <c r="C254" s="3260">
        <v>0.15</v>
      </c>
      <c r="D254" s="3260">
        <v>0.15</v>
      </c>
      <c r="E254" s="3260">
        <v>0.15</v>
      </c>
      <c r="F254" s="3260">
        <v>0.15</v>
      </c>
      <c r="G254" s="3261">
        <v>0.15</v>
      </c>
    </row>
    <row r="255" spans="1:7">
      <c r="A255" s="3270" t="s">
        <v>301</v>
      </c>
      <c r="B255" s="3259" t="s">
        <v>285</v>
      </c>
      <c r="C255" s="3260">
        <v>0.14299999999999999</v>
      </c>
      <c r="D255" s="3260">
        <v>0.14299999999999999</v>
      </c>
      <c r="E255" s="3260">
        <v>0.15</v>
      </c>
      <c r="F255" s="3260">
        <v>0.15</v>
      </c>
      <c r="G255" s="3261">
        <v>0.14499999999999999</v>
      </c>
    </row>
    <row r="256" spans="1:7">
      <c r="A256" s="3270" t="s">
        <v>301</v>
      </c>
      <c r="B256" s="3259" t="s">
        <v>2934</v>
      </c>
      <c r="C256" s="3260">
        <v>0.15</v>
      </c>
      <c r="D256" s="3260">
        <v>0.15</v>
      </c>
      <c r="E256" s="3260">
        <v>0.15</v>
      </c>
      <c r="F256" s="3260">
        <v>0.14599999999999999</v>
      </c>
      <c r="G256" s="3261">
        <v>0.15</v>
      </c>
    </row>
    <row r="257" spans="1:7">
      <c r="A257" s="3270" t="s">
        <v>301</v>
      </c>
      <c r="B257" s="3259" t="s">
        <v>271</v>
      </c>
      <c r="C257" s="3260">
        <v>0.14199999999999999</v>
      </c>
      <c r="D257" s="3260">
        <v>0.14299999999999999</v>
      </c>
      <c r="E257" s="3260">
        <v>0.14799999999999999</v>
      </c>
      <c r="F257" s="3260">
        <v>0.15</v>
      </c>
      <c r="G257" s="3261">
        <v>0.14499999999999999</v>
      </c>
    </row>
    <row r="258" spans="1:7">
      <c r="A258" s="3270" t="s">
        <v>301</v>
      </c>
      <c r="B258" s="3259" t="s">
        <v>2943</v>
      </c>
      <c r="C258" s="3260">
        <v>0.14299999999999999</v>
      </c>
      <c r="D258" s="3260">
        <v>0.14299999999999999</v>
      </c>
      <c r="E258" s="3260">
        <v>0.15</v>
      </c>
      <c r="F258" s="3260">
        <v>0.14799999999999999</v>
      </c>
      <c r="G258" s="3261">
        <v>0.14599999999999999</v>
      </c>
    </row>
    <row r="259" spans="1:7">
      <c r="A259" s="3270" t="s">
        <v>301</v>
      </c>
      <c r="B259" s="3259" t="s">
        <v>2947</v>
      </c>
      <c r="C259" s="3260">
        <v>0.14399999999999999</v>
      </c>
      <c r="D259" s="3260">
        <v>0.14399999999999999</v>
      </c>
      <c r="E259" s="3260">
        <v>0.14899999999999999</v>
      </c>
      <c r="F259" s="3260">
        <v>0.14699999999999999</v>
      </c>
      <c r="G259" s="3261">
        <v>0.14599999999999999</v>
      </c>
    </row>
    <row r="260" spans="1:7">
      <c r="A260" s="3270" t="s">
        <v>301</v>
      </c>
      <c r="B260" s="3259" t="s">
        <v>2954</v>
      </c>
      <c r="C260" s="3260">
        <v>0.109</v>
      </c>
      <c r="D260" s="3260">
        <v>0.111</v>
      </c>
      <c r="E260" s="3260">
        <v>0.13100000000000001</v>
      </c>
      <c r="F260" s="3260">
        <v>0.126</v>
      </c>
      <c r="G260" s="3261">
        <v>0.11899999999999999</v>
      </c>
    </row>
    <row r="261" spans="1:7">
      <c r="A261" s="3270" t="s">
        <v>301</v>
      </c>
      <c r="B261" s="3259" t="s">
        <v>2961</v>
      </c>
      <c r="C261" s="3260">
        <v>0.1</v>
      </c>
      <c r="D261" s="3260">
        <v>0.1</v>
      </c>
      <c r="E261" s="3260">
        <v>0.11799999999999999</v>
      </c>
      <c r="F261" s="3260">
        <v>0.108</v>
      </c>
      <c r="G261" s="3261">
        <v>0.107</v>
      </c>
    </row>
    <row r="262" spans="1:7">
      <c r="A262" s="3270" t="s">
        <v>301</v>
      </c>
      <c r="B262" s="3259" t="s">
        <v>2967</v>
      </c>
      <c r="C262" s="3260">
        <v>0.1</v>
      </c>
      <c r="D262" s="3260">
        <v>0.1</v>
      </c>
      <c r="E262" s="3260">
        <v>0.1</v>
      </c>
      <c r="F262" s="3260">
        <v>0.14099999999999999</v>
      </c>
      <c r="G262" s="3261">
        <v>0.1</v>
      </c>
    </row>
    <row r="263" spans="1:7">
      <c r="A263" s="3270" t="s">
        <v>301</v>
      </c>
      <c r="B263" s="3259" t="s">
        <v>2974</v>
      </c>
      <c r="C263" s="3260">
        <v>0.14799999999999999</v>
      </c>
      <c r="D263" s="3260">
        <v>0.14799999999999999</v>
      </c>
      <c r="E263" s="3260">
        <v>0.15</v>
      </c>
      <c r="F263" s="3260">
        <v>0.14699999999999999</v>
      </c>
      <c r="G263" s="3261">
        <v>0.15</v>
      </c>
    </row>
    <row r="264" spans="1:7">
      <c r="A264" s="3270" t="s">
        <v>301</v>
      </c>
      <c r="B264" s="3259" t="s">
        <v>295</v>
      </c>
      <c r="C264" s="3260">
        <v>0.14299999999999999</v>
      </c>
      <c r="D264" s="3260">
        <v>0.14299999999999999</v>
      </c>
      <c r="E264" s="3260">
        <v>0.15</v>
      </c>
      <c r="F264" s="3260">
        <v>0.14899999999999999</v>
      </c>
      <c r="G264" s="3261">
        <v>0.14599999999999999</v>
      </c>
    </row>
    <row r="265" spans="1:7">
      <c r="A265" s="3270" t="s">
        <v>301</v>
      </c>
      <c r="B265" s="3259" t="s">
        <v>2985</v>
      </c>
      <c r="C265" s="3271"/>
      <c r="D265" s="3271"/>
      <c r="E265" s="3271"/>
      <c r="F265" s="3260">
        <v>0.05</v>
      </c>
      <c r="G265" s="3277"/>
    </row>
    <row r="266" spans="1:7">
      <c r="A266" s="3270" t="s">
        <v>301</v>
      </c>
      <c r="B266" s="3259" t="s">
        <v>2989</v>
      </c>
      <c r="C266" s="3271"/>
      <c r="D266" s="3271"/>
      <c r="E266" s="3271"/>
      <c r="F266" s="3260">
        <v>0.05</v>
      </c>
      <c r="G266" s="3277"/>
    </row>
    <row r="267" spans="1:7">
      <c r="A267" s="3270" t="s">
        <v>301</v>
      </c>
      <c r="B267" s="3259" t="s">
        <v>2994</v>
      </c>
      <c r="C267" s="3271"/>
      <c r="D267" s="3271"/>
      <c r="E267" s="3271"/>
      <c r="F267" s="3260">
        <v>0.05</v>
      </c>
      <c r="G267" s="3277"/>
    </row>
    <row r="268" spans="1:7">
      <c r="A268" s="3270" t="s">
        <v>301</v>
      </c>
      <c r="B268" s="3259" t="s">
        <v>2999</v>
      </c>
      <c r="C268" s="3271"/>
      <c r="D268" s="3271"/>
      <c r="E268" s="3271"/>
      <c r="F268" s="3260">
        <v>0.05</v>
      </c>
      <c r="G268" s="3277"/>
    </row>
    <row r="269" spans="1:7">
      <c r="A269" s="3270" t="s">
        <v>301</v>
      </c>
      <c r="B269" s="3259" t="s">
        <v>3004</v>
      </c>
      <c r="C269" s="3271"/>
      <c r="D269" s="3271"/>
      <c r="E269" s="3271"/>
      <c r="F269" s="3260">
        <v>0.05</v>
      </c>
      <c r="G269" s="3277"/>
    </row>
    <row r="270" spans="1:7">
      <c r="A270" s="3270" t="s">
        <v>301</v>
      </c>
      <c r="B270" s="3259" t="s">
        <v>3009</v>
      </c>
      <c r="C270" s="3271"/>
      <c r="D270" s="3271"/>
      <c r="E270" s="3271"/>
      <c r="F270" s="3260">
        <v>0.05</v>
      </c>
      <c r="G270" s="3277"/>
    </row>
    <row r="271" spans="1:7">
      <c r="A271" s="3270" t="s">
        <v>301</v>
      </c>
      <c r="B271" s="3259" t="s">
        <v>3213</v>
      </c>
      <c r="C271" s="3271"/>
      <c r="D271" s="3271"/>
      <c r="E271" s="3271"/>
      <c r="F271" s="3260">
        <v>0.05</v>
      </c>
      <c r="G271" s="3277"/>
    </row>
    <row r="272" spans="1:7">
      <c r="A272" s="3270" t="s">
        <v>301</v>
      </c>
      <c r="B272" s="3259" t="s">
        <v>3214</v>
      </c>
      <c r="C272" s="3271"/>
      <c r="D272" s="3271"/>
      <c r="E272" s="3271"/>
      <c r="F272" s="3260">
        <v>0.05</v>
      </c>
      <c r="G272" s="3277"/>
    </row>
    <row r="273" spans="1:7">
      <c r="A273" s="3270" t="s">
        <v>301</v>
      </c>
      <c r="B273" s="3259" t="s">
        <v>3215</v>
      </c>
      <c r="C273" s="3271"/>
      <c r="D273" s="3271"/>
      <c r="E273" s="3271"/>
      <c r="F273" s="3260">
        <v>0.05</v>
      </c>
      <c r="G273" s="3277"/>
    </row>
    <row r="274" spans="1:7">
      <c r="A274" s="3270" t="s">
        <v>301</v>
      </c>
      <c r="B274" s="3259" t="s">
        <v>3216</v>
      </c>
      <c r="C274" s="3271"/>
      <c r="D274" s="3271"/>
      <c r="E274" s="3271"/>
      <c r="F274" s="3260">
        <v>0.05</v>
      </c>
      <c r="G274" s="3277"/>
    </row>
    <row r="275" spans="1:7">
      <c r="A275" s="3270" t="s">
        <v>301</v>
      </c>
      <c r="B275" s="3259" t="s">
        <v>3217</v>
      </c>
      <c r="C275" s="3271"/>
      <c r="D275" s="3271"/>
      <c r="E275" s="3271"/>
      <c r="F275" s="3260">
        <v>0.05</v>
      </c>
      <c r="G275" s="3277"/>
    </row>
    <row r="276" spans="1:7" ht="14.25" thickBot="1">
      <c r="A276" s="3273" t="s">
        <v>301</v>
      </c>
      <c r="B276" s="3263" t="s">
        <v>3218</v>
      </c>
      <c r="C276" s="3265"/>
      <c r="D276" s="3265"/>
      <c r="E276" s="3265"/>
      <c r="F276" s="3264">
        <v>0.05</v>
      </c>
      <c r="G276" s="3278"/>
    </row>
    <row r="277" spans="1:7">
      <c r="A277" s="3269" t="s">
        <v>302</v>
      </c>
      <c r="B277" s="3255" t="s">
        <v>2862</v>
      </c>
      <c r="C277" s="3256">
        <v>0.15</v>
      </c>
      <c r="D277" s="3256">
        <v>0.15</v>
      </c>
      <c r="E277" s="3256">
        <v>0.15</v>
      </c>
      <c r="F277" s="3256">
        <v>0.15</v>
      </c>
      <c r="G277" s="3257">
        <v>0.15</v>
      </c>
    </row>
    <row r="278" spans="1:7">
      <c r="A278" s="3270" t="s">
        <v>302</v>
      </c>
      <c r="B278" s="3259" t="s">
        <v>131</v>
      </c>
      <c r="C278" s="3260">
        <v>0.15</v>
      </c>
      <c r="D278" s="3260">
        <v>0.15</v>
      </c>
      <c r="E278" s="3260">
        <v>0.15</v>
      </c>
      <c r="F278" s="3260">
        <v>0.15</v>
      </c>
      <c r="G278" s="3261">
        <v>0.15</v>
      </c>
    </row>
    <row r="279" spans="1:7">
      <c r="A279" s="3270" t="s">
        <v>302</v>
      </c>
      <c r="B279" s="3259" t="s">
        <v>2874</v>
      </c>
      <c r="C279" s="3260">
        <v>0.15</v>
      </c>
      <c r="D279" s="3260">
        <v>0.15</v>
      </c>
      <c r="E279" s="3260">
        <v>0.15</v>
      </c>
      <c r="F279" s="3260">
        <v>0.15</v>
      </c>
      <c r="G279" s="3261">
        <v>0.15</v>
      </c>
    </row>
    <row r="280" spans="1:7">
      <c r="A280" s="3270" t="s">
        <v>302</v>
      </c>
      <c r="B280" s="3259" t="s">
        <v>2878</v>
      </c>
      <c r="C280" s="3260">
        <v>0.15</v>
      </c>
      <c r="D280" s="3260">
        <v>0.15</v>
      </c>
      <c r="E280" s="3260">
        <v>0.15</v>
      </c>
      <c r="F280" s="3260">
        <v>0.15</v>
      </c>
      <c r="G280" s="3261">
        <v>0.15</v>
      </c>
    </row>
    <row r="281" spans="1:7">
      <c r="A281" s="3270" t="s">
        <v>302</v>
      </c>
      <c r="B281" s="3259" t="s">
        <v>2882</v>
      </c>
      <c r="C281" s="3260">
        <v>0.15</v>
      </c>
      <c r="D281" s="3260">
        <v>0.15</v>
      </c>
      <c r="E281" s="3260">
        <v>0.15</v>
      </c>
      <c r="F281" s="3260">
        <v>0.15</v>
      </c>
      <c r="G281" s="3261">
        <v>0.15</v>
      </c>
    </row>
    <row r="282" spans="1:7">
      <c r="A282" s="3270" t="s">
        <v>302</v>
      </c>
      <c r="B282" s="3259" t="s">
        <v>2886</v>
      </c>
      <c r="C282" s="3260">
        <v>0.15</v>
      </c>
      <c r="D282" s="3260">
        <v>0.15</v>
      </c>
      <c r="E282" s="3260">
        <v>0.15</v>
      </c>
      <c r="F282" s="3260">
        <v>0.14499999999999999</v>
      </c>
      <c r="G282" s="3261">
        <v>0.15</v>
      </c>
    </row>
    <row r="283" spans="1:7">
      <c r="A283" s="3270" t="s">
        <v>302</v>
      </c>
      <c r="B283" s="3259" t="s">
        <v>170</v>
      </c>
      <c r="C283" s="3260">
        <v>0.15</v>
      </c>
      <c r="D283" s="3260">
        <v>0.15</v>
      </c>
      <c r="E283" s="3260">
        <v>0.15</v>
      </c>
      <c r="F283" s="3260">
        <v>0.14199999999999999</v>
      </c>
      <c r="G283" s="3261">
        <v>0.15</v>
      </c>
    </row>
    <row r="284" spans="1:7">
      <c r="A284" s="3270" t="s">
        <v>302</v>
      </c>
      <c r="B284" s="3259" t="s">
        <v>178</v>
      </c>
      <c r="C284" s="3260">
        <v>0.15</v>
      </c>
      <c r="D284" s="3260">
        <v>0.15</v>
      </c>
      <c r="E284" s="3260">
        <v>0.15</v>
      </c>
      <c r="F284" s="3260">
        <v>0.15</v>
      </c>
      <c r="G284" s="3261">
        <v>0.15</v>
      </c>
    </row>
    <row r="285" spans="1:7">
      <c r="A285" s="3270" t="s">
        <v>302</v>
      </c>
      <c r="B285" s="3259" t="s">
        <v>188</v>
      </c>
      <c r="C285" s="3260">
        <v>0.15</v>
      </c>
      <c r="D285" s="3260">
        <v>0.15</v>
      </c>
      <c r="E285" s="3260">
        <v>0.15</v>
      </c>
      <c r="F285" s="3260">
        <v>0.15</v>
      </c>
      <c r="G285" s="3261">
        <v>0.15</v>
      </c>
    </row>
    <row r="286" spans="1:7">
      <c r="A286" s="3270" t="s">
        <v>302</v>
      </c>
      <c r="B286" s="3259" t="s">
        <v>195</v>
      </c>
      <c r="C286" s="3260">
        <v>0.14499999999999999</v>
      </c>
      <c r="D286" s="3260">
        <v>0.14499999999999999</v>
      </c>
      <c r="E286" s="3260">
        <v>0.15</v>
      </c>
      <c r="F286" s="3260">
        <v>0.14099999999999999</v>
      </c>
      <c r="G286" s="3261">
        <v>0.14499999999999999</v>
      </c>
    </row>
    <row r="287" spans="1:7">
      <c r="A287" s="3270" t="s">
        <v>302</v>
      </c>
      <c r="B287" s="3259" t="s">
        <v>2901</v>
      </c>
      <c r="C287" s="3260">
        <v>0.11</v>
      </c>
      <c r="D287" s="3260">
        <v>0.111</v>
      </c>
      <c r="E287" s="3260">
        <v>0.14099999999999999</v>
      </c>
      <c r="F287" s="3260">
        <v>0.11</v>
      </c>
      <c r="G287" s="3261">
        <v>0.12</v>
      </c>
    </row>
    <row r="288" spans="1:7">
      <c r="A288" s="3270" t="s">
        <v>302</v>
      </c>
      <c r="B288" s="3259" t="s">
        <v>215</v>
      </c>
      <c r="C288" s="3260">
        <v>0.14199999999999999</v>
      </c>
      <c r="D288" s="3260">
        <v>0.14299999999999999</v>
      </c>
      <c r="E288" s="3260">
        <v>0.15</v>
      </c>
      <c r="F288" s="3260">
        <v>0.14199999999999999</v>
      </c>
      <c r="G288" s="3261">
        <v>0.14399999999999999</v>
      </c>
    </row>
    <row r="289" spans="1:7">
      <c r="A289" s="3270" t="s">
        <v>302</v>
      </c>
      <c r="B289" s="3259" t="s">
        <v>2906</v>
      </c>
      <c r="C289" s="3260">
        <v>0.14299999999999999</v>
      </c>
      <c r="D289" s="3260">
        <v>0.14299999999999999</v>
      </c>
      <c r="E289" s="3260">
        <v>0.14799999999999999</v>
      </c>
      <c r="F289" s="3260">
        <v>0.14399999999999999</v>
      </c>
      <c r="G289" s="3261">
        <v>0.14399999999999999</v>
      </c>
    </row>
    <row r="290" spans="1:7">
      <c r="A290" s="3270" t="s">
        <v>302</v>
      </c>
      <c r="B290" s="3259" t="s">
        <v>238</v>
      </c>
      <c r="C290" s="3260">
        <v>0.14799999999999999</v>
      </c>
      <c r="D290" s="3260">
        <v>0.14899999999999999</v>
      </c>
      <c r="E290" s="3260">
        <v>0.15</v>
      </c>
      <c r="F290" s="3260">
        <v>0.127</v>
      </c>
      <c r="G290" s="3261">
        <v>0.15</v>
      </c>
    </row>
    <row r="291" spans="1:7">
      <c r="A291" s="3270" t="s">
        <v>302</v>
      </c>
      <c r="B291" s="3259" t="s">
        <v>246</v>
      </c>
      <c r="C291" s="3260">
        <v>0.15</v>
      </c>
      <c r="D291" s="3260">
        <v>0.15</v>
      </c>
      <c r="E291" s="3260">
        <v>0.15</v>
      </c>
      <c r="F291" s="3260">
        <v>0.14899999999999999</v>
      </c>
      <c r="G291" s="3261">
        <v>0.15</v>
      </c>
    </row>
    <row r="292" spans="1:7">
      <c r="A292" s="3270" t="s">
        <v>302</v>
      </c>
      <c r="B292" s="3259" t="s">
        <v>252</v>
      </c>
      <c r="C292" s="3260">
        <v>0.15</v>
      </c>
      <c r="D292" s="3260">
        <v>0.15</v>
      </c>
      <c r="E292" s="3260">
        <v>0.15</v>
      </c>
      <c r="F292" s="3260">
        <v>0.14399999999999999</v>
      </c>
      <c r="G292" s="3261">
        <v>0.15</v>
      </c>
    </row>
    <row r="293" spans="1:7">
      <c r="A293" s="3270" t="s">
        <v>302</v>
      </c>
      <c r="B293" s="3259" t="s">
        <v>2916</v>
      </c>
      <c r="C293" s="3260">
        <v>0.15</v>
      </c>
      <c r="D293" s="3260">
        <v>0.15</v>
      </c>
      <c r="E293" s="3260">
        <v>0.15</v>
      </c>
      <c r="F293" s="3260">
        <v>0.14499999999999999</v>
      </c>
      <c r="G293" s="3261">
        <v>0.15</v>
      </c>
    </row>
    <row r="294" spans="1:7">
      <c r="A294" s="3270" t="s">
        <v>302</v>
      </c>
      <c r="B294" s="3259" t="s">
        <v>2918</v>
      </c>
      <c r="C294" s="3260">
        <v>0.15</v>
      </c>
      <c r="D294" s="3260">
        <v>0.15</v>
      </c>
      <c r="E294" s="3260">
        <v>0.15</v>
      </c>
      <c r="F294" s="3260">
        <v>0.14899999999999999</v>
      </c>
      <c r="G294" s="3261">
        <v>0.15</v>
      </c>
    </row>
    <row r="295" spans="1:7">
      <c r="A295" s="3270" t="s">
        <v>302</v>
      </c>
      <c r="B295" s="3259" t="s">
        <v>286</v>
      </c>
      <c r="C295" s="3260">
        <v>0.15</v>
      </c>
      <c r="D295" s="3260">
        <v>0.15</v>
      </c>
      <c r="E295" s="3260">
        <v>0.15</v>
      </c>
      <c r="F295" s="3260">
        <v>0.14799999999999999</v>
      </c>
      <c r="G295" s="3261">
        <v>0.15</v>
      </c>
    </row>
    <row r="296" spans="1:7">
      <c r="A296" s="3270" t="s">
        <v>302</v>
      </c>
      <c r="B296" s="3259" t="s">
        <v>289</v>
      </c>
      <c r="C296" s="3260">
        <v>0.15</v>
      </c>
      <c r="D296" s="3260">
        <v>0.15</v>
      </c>
      <c r="E296" s="3260">
        <v>0.15</v>
      </c>
      <c r="F296" s="3260">
        <v>0.14399999999999999</v>
      </c>
      <c r="G296" s="3261">
        <v>0.15</v>
      </c>
    </row>
    <row r="297" spans="1:7">
      <c r="A297" s="3270" t="s">
        <v>302</v>
      </c>
      <c r="B297" s="3259" t="s">
        <v>291</v>
      </c>
      <c r="C297" s="3260">
        <v>0.15</v>
      </c>
      <c r="D297" s="3260">
        <v>0.15</v>
      </c>
      <c r="E297" s="3260">
        <v>0.15</v>
      </c>
      <c r="F297" s="3260">
        <v>0.14499999999999999</v>
      </c>
      <c r="G297" s="3261">
        <v>0.15</v>
      </c>
    </row>
    <row r="298" spans="1:7">
      <c r="A298" s="3270" t="s">
        <v>302</v>
      </c>
      <c r="B298" s="3259" t="s">
        <v>294</v>
      </c>
      <c r="C298" s="3260">
        <v>0.15</v>
      </c>
      <c r="D298" s="3260">
        <v>0.15</v>
      </c>
      <c r="E298" s="3260">
        <v>0.15</v>
      </c>
      <c r="F298" s="3260">
        <v>0.15</v>
      </c>
      <c r="G298" s="3261">
        <v>0.15</v>
      </c>
    </row>
    <row r="299" spans="1:7">
      <c r="A299" s="3270" t="s">
        <v>302</v>
      </c>
      <c r="B299" s="3279" t="s">
        <v>2935</v>
      </c>
      <c r="C299" s="3260">
        <v>0.15</v>
      </c>
      <c r="D299" s="3260">
        <v>0.15</v>
      </c>
      <c r="E299" s="3260">
        <v>0.15</v>
      </c>
      <c r="F299" s="3260">
        <v>0.14499999999999999</v>
      </c>
      <c r="G299" s="3261">
        <v>0.15</v>
      </c>
    </row>
    <row r="300" spans="1:7">
      <c r="A300" s="3270" t="s">
        <v>302</v>
      </c>
      <c r="B300" s="3279" t="s">
        <v>267</v>
      </c>
      <c r="C300" s="3260">
        <v>0.15</v>
      </c>
      <c r="D300" s="3260">
        <v>0.15</v>
      </c>
      <c r="E300" s="3260">
        <v>0.15</v>
      </c>
      <c r="F300" s="3260">
        <v>0.14599999999999999</v>
      </c>
      <c r="G300" s="3261">
        <v>0.15</v>
      </c>
    </row>
    <row r="301" spans="1:7">
      <c r="A301" s="3270" t="s">
        <v>302</v>
      </c>
      <c r="B301" s="3279" t="s">
        <v>272</v>
      </c>
      <c r="C301" s="3260">
        <v>0.126</v>
      </c>
      <c r="D301" s="3260">
        <v>0.124</v>
      </c>
      <c r="E301" s="3260">
        <v>0.14099999999999999</v>
      </c>
      <c r="F301" s="3260">
        <v>0.14399999999999999</v>
      </c>
      <c r="G301" s="3261">
        <v>0.13</v>
      </c>
    </row>
    <row r="302" spans="1:7">
      <c r="A302" s="3270" t="s">
        <v>302</v>
      </c>
      <c r="B302" s="3259" t="s">
        <v>2948</v>
      </c>
      <c r="C302" s="3260">
        <v>0.15</v>
      </c>
      <c r="D302" s="3260">
        <v>0.15</v>
      </c>
      <c r="E302" s="3260">
        <v>0.15</v>
      </c>
      <c r="F302" s="3260">
        <v>0.14699999999999999</v>
      </c>
      <c r="G302" s="3261">
        <v>0.15</v>
      </c>
    </row>
    <row r="303" spans="1:7">
      <c r="A303" s="3270" t="s">
        <v>302</v>
      </c>
      <c r="B303" s="3259" t="s">
        <v>2955</v>
      </c>
      <c r="C303" s="3260">
        <v>0.15</v>
      </c>
      <c r="D303" s="3260">
        <v>0.15</v>
      </c>
      <c r="E303" s="3260">
        <v>0.15</v>
      </c>
      <c r="F303" s="3260">
        <v>0.14199999999999999</v>
      </c>
      <c r="G303" s="3261">
        <v>0.15</v>
      </c>
    </row>
    <row r="304" spans="1:7">
      <c r="A304" s="3270" t="s">
        <v>302</v>
      </c>
      <c r="B304" s="3259" t="s">
        <v>2962</v>
      </c>
      <c r="C304" s="3260">
        <v>0.15</v>
      </c>
      <c r="D304" s="3260">
        <v>0.15</v>
      </c>
      <c r="E304" s="3260">
        <v>0.15</v>
      </c>
      <c r="F304" s="3260">
        <v>0.14499999999999999</v>
      </c>
      <c r="G304" s="3261">
        <v>0.15</v>
      </c>
    </row>
    <row r="305" spans="1:7">
      <c r="A305" s="3270" t="s">
        <v>302</v>
      </c>
      <c r="B305" s="3259" t="s">
        <v>2968</v>
      </c>
      <c r="C305" s="3260">
        <v>0.15</v>
      </c>
      <c r="D305" s="3260">
        <v>0.15</v>
      </c>
      <c r="E305" s="3260">
        <v>0.15</v>
      </c>
      <c r="F305" s="3260">
        <v>0.111</v>
      </c>
      <c r="G305" s="3261">
        <v>0.15</v>
      </c>
    </row>
    <row r="306" spans="1:7">
      <c r="A306" s="3270" t="s">
        <v>302</v>
      </c>
      <c r="B306" s="3259" t="s">
        <v>2975</v>
      </c>
      <c r="C306" s="3260">
        <v>0.15</v>
      </c>
      <c r="D306" s="3260">
        <v>0.15</v>
      </c>
      <c r="E306" s="3260">
        <v>0.15</v>
      </c>
      <c r="F306" s="3260">
        <v>0.126</v>
      </c>
      <c r="G306" s="3261">
        <v>0.15</v>
      </c>
    </row>
    <row r="307" spans="1:7">
      <c r="A307" s="3270" t="s">
        <v>302</v>
      </c>
      <c r="B307" s="3259" t="s">
        <v>2980</v>
      </c>
      <c r="C307" s="3260">
        <v>0.15</v>
      </c>
      <c r="D307" s="3260">
        <v>0.15</v>
      </c>
      <c r="E307" s="3260">
        <v>0.15</v>
      </c>
      <c r="F307" s="3260">
        <v>0.12</v>
      </c>
      <c r="G307" s="3261">
        <v>0.15</v>
      </c>
    </row>
    <row r="308" spans="1:7">
      <c r="A308" s="3270" t="s">
        <v>302</v>
      </c>
      <c r="B308" s="3259" t="s">
        <v>2986</v>
      </c>
      <c r="C308" s="3260">
        <v>0.15</v>
      </c>
      <c r="D308" s="3260">
        <v>0.15</v>
      </c>
      <c r="E308" s="3260">
        <v>0.15</v>
      </c>
      <c r="F308" s="3260">
        <v>0.13</v>
      </c>
      <c r="G308" s="3261">
        <v>0.15</v>
      </c>
    </row>
    <row r="309" spans="1:7">
      <c r="A309" s="3270" t="s">
        <v>302</v>
      </c>
      <c r="B309" s="3259" t="s">
        <v>2990</v>
      </c>
      <c r="C309" s="3260">
        <v>0.15</v>
      </c>
      <c r="D309" s="3260">
        <v>0.15</v>
      </c>
      <c r="E309" s="3260">
        <v>0.15</v>
      </c>
      <c r="F309" s="3260">
        <v>0.14099999999999999</v>
      </c>
      <c r="G309" s="3261">
        <v>0.15</v>
      </c>
    </row>
    <row r="310" spans="1:7">
      <c r="A310" s="3270" t="s">
        <v>302</v>
      </c>
      <c r="B310" s="3259" t="s">
        <v>2995</v>
      </c>
      <c r="C310" s="3260">
        <v>0.15</v>
      </c>
      <c r="D310" s="3260">
        <v>0.15</v>
      </c>
      <c r="E310" s="3260">
        <v>0.15</v>
      </c>
      <c r="F310" s="3260">
        <v>0.15</v>
      </c>
      <c r="G310" s="3261">
        <v>0.15</v>
      </c>
    </row>
    <row r="311" spans="1:7">
      <c r="A311" s="3270" t="s">
        <v>302</v>
      </c>
      <c r="B311" s="3259" t="s">
        <v>3000</v>
      </c>
      <c r="C311" s="3260">
        <v>0.13200000000000001</v>
      </c>
      <c r="D311" s="3260">
        <v>0.13300000000000001</v>
      </c>
      <c r="E311" s="3260">
        <v>0.14499999999999999</v>
      </c>
      <c r="F311" s="3260">
        <v>0.14199999999999999</v>
      </c>
      <c r="G311" s="3261">
        <v>0.14000000000000001</v>
      </c>
    </row>
    <row r="312" spans="1:7">
      <c r="A312" s="3270" t="s">
        <v>302</v>
      </c>
      <c r="B312" s="3259" t="s">
        <v>3005</v>
      </c>
      <c r="C312" s="3260">
        <v>0.13800000000000001</v>
      </c>
      <c r="D312" s="3260">
        <v>0.14000000000000001</v>
      </c>
      <c r="E312" s="3260">
        <v>0.14599999999999999</v>
      </c>
      <c r="F312" s="3260">
        <v>0.14899999999999999</v>
      </c>
      <c r="G312" s="3261">
        <v>0.14199999999999999</v>
      </c>
    </row>
    <row r="313" spans="1:7">
      <c r="A313" s="3270" t="s">
        <v>302</v>
      </c>
      <c r="B313" s="3259" t="s">
        <v>3010</v>
      </c>
      <c r="C313" s="3260">
        <v>0.125</v>
      </c>
      <c r="D313" s="3260">
        <v>0.127</v>
      </c>
      <c r="E313" s="3260">
        <v>0.14399999999999999</v>
      </c>
      <c r="F313" s="3260">
        <v>0.115</v>
      </c>
      <c r="G313" s="3261">
        <v>0.13600000000000001</v>
      </c>
    </row>
    <row r="314" spans="1:7">
      <c r="A314" s="3270" t="s">
        <v>302</v>
      </c>
      <c r="B314" s="3259" t="s">
        <v>3219</v>
      </c>
      <c r="C314" s="3276"/>
      <c r="D314" s="3276"/>
      <c r="E314" s="3276"/>
      <c r="F314" s="3260">
        <v>0.05</v>
      </c>
      <c r="G314" s="3277"/>
    </row>
    <row r="315" spans="1:7">
      <c r="A315" s="3270" t="s">
        <v>302</v>
      </c>
      <c r="B315" s="3259" t="s">
        <v>3220</v>
      </c>
      <c r="C315" s="3276"/>
      <c r="D315" s="3276"/>
      <c r="E315" s="3276"/>
      <c r="F315" s="3260">
        <v>0.05</v>
      </c>
      <c r="G315" s="3277"/>
    </row>
    <row r="316" spans="1:7">
      <c r="A316" s="3270" t="s">
        <v>302</v>
      </c>
      <c r="B316" s="3259" t="s">
        <v>3221</v>
      </c>
      <c r="C316" s="3271"/>
      <c r="D316" s="3271"/>
      <c r="E316" s="3271"/>
      <c r="F316" s="3260">
        <v>0.05</v>
      </c>
      <c r="G316" s="3277"/>
    </row>
    <row r="317" spans="1:7">
      <c r="A317" s="3270" t="s">
        <v>302</v>
      </c>
      <c r="B317" s="3259" t="s">
        <v>3222</v>
      </c>
      <c r="C317" s="3271"/>
      <c r="D317" s="3271"/>
      <c r="E317" s="3271"/>
      <c r="F317" s="3260">
        <v>0.05</v>
      </c>
      <c r="G317" s="3277"/>
    </row>
    <row r="318" spans="1:7">
      <c r="A318" s="3270" t="s">
        <v>302</v>
      </c>
      <c r="B318" s="3259" t="s">
        <v>3223</v>
      </c>
      <c r="C318" s="3271"/>
      <c r="D318" s="3271"/>
      <c r="E318" s="3271"/>
      <c r="F318" s="3260">
        <v>0.05</v>
      </c>
      <c r="G318" s="3277"/>
    </row>
    <row r="319" spans="1:7">
      <c r="A319" s="3270" t="s">
        <v>302</v>
      </c>
      <c r="B319" s="3259" t="s">
        <v>3224</v>
      </c>
      <c r="C319" s="3271"/>
      <c r="D319" s="3271"/>
      <c r="E319" s="3271"/>
      <c r="F319" s="3260">
        <v>0.05</v>
      </c>
      <c r="G319" s="3277"/>
    </row>
    <row r="320" spans="1:7">
      <c r="A320" s="3270" t="s">
        <v>302</v>
      </c>
      <c r="B320" s="3259" t="s">
        <v>3225</v>
      </c>
      <c r="C320" s="3271"/>
      <c r="D320" s="3271"/>
      <c r="E320" s="3271"/>
      <c r="F320" s="3260">
        <v>0.05</v>
      </c>
      <c r="G320" s="3277"/>
    </row>
    <row r="321" spans="1:7">
      <c r="A321" s="3270" t="s">
        <v>302</v>
      </c>
      <c r="B321" s="3259" t="s">
        <v>3226</v>
      </c>
      <c r="C321" s="3271"/>
      <c r="D321" s="3271"/>
      <c r="E321" s="3271"/>
      <c r="F321" s="3260">
        <v>0.05</v>
      </c>
      <c r="G321" s="3277"/>
    </row>
    <row r="322" spans="1:7">
      <c r="A322" s="3270" t="s">
        <v>302</v>
      </c>
      <c r="B322" s="3259" t="s">
        <v>3227</v>
      </c>
      <c r="C322" s="3271"/>
      <c r="D322" s="3271"/>
      <c r="E322" s="3271"/>
      <c r="F322" s="3260">
        <v>0.05</v>
      </c>
      <c r="G322" s="3277"/>
    </row>
    <row r="323" spans="1:7">
      <c r="A323" s="3270" t="s">
        <v>302</v>
      </c>
      <c r="B323" s="3259" t="s">
        <v>3228</v>
      </c>
      <c r="C323" s="3271"/>
      <c r="D323" s="3271"/>
      <c r="E323" s="3271"/>
      <c r="F323" s="3260">
        <v>0.05</v>
      </c>
      <c r="G323" s="3277"/>
    </row>
    <row r="324" spans="1:7">
      <c r="A324" s="3270" t="s">
        <v>302</v>
      </c>
      <c r="B324" s="3259" t="s">
        <v>3229</v>
      </c>
      <c r="C324" s="3271"/>
      <c r="D324" s="3271"/>
      <c r="E324" s="3271"/>
      <c r="F324" s="3260">
        <v>0.05</v>
      </c>
      <c r="G324" s="3277"/>
    </row>
    <row r="325" spans="1:7">
      <c r="A325" s="3270" t="s">
        <v>302</v>
      </c>
      <c r="B325" s="3259" t="s">
        <v>3230</v>
      </c>
      <c r="C325" s="3271"/>
      <c r="D325" s="3271"/>
      <c r="E325" s="3271"/>
      <c r="F325" s="3260">
        <v>0.05</v>
      </c>
      <c r="G325" s="3277"/>
    </row>
    <row r="326" spans="1:7" ht="14.25" thickBot="1">
      <c r="A326" s="3273" t="s">
        <v>302</v>
      </c>
      <c r="B326" s="3263" t="s">
        <v>3231</v>
      </c>
      <c r="C326" s="3265"/>
      <c r="D326" s="3265"/>
      <c r="E326" s="3265"/>
      <c r="F326" s="3264">
        <v>0.05</v>
      </c>
      <c r="G326" s="3278"/>
    </row>
    <row r="327" spans="1:7">
      <c r="A327" s="3269" t="s">
        <v>303</v>
      </c>
      <c r="B327" s="3255" t="s">
        <v>2863</v>
      </c>
      <c r="C327" s="3256">
        <v>0.15</v>
      </c>
      <c r="D327" s="3256">
        <v>0.15</v>
      </c>
      <c r="E327" s="3256">
        <v>0.15</v>
      </c>
      <c r="F327" s="3256">
        <v>0.15</v>
      </c>
      <c r="G327" s="3257">
        <v>0.15</v>
      </c>
    </row>
    <row r="328" spans="1:7">
      <c r="A328" s="3270" t="s">
        <v>303</v>
      </c>
      <c r="B328" s="3259" t="s">
        <v>132</v>
      </c>
      <c r="C328" s="3260">
        <v>0.15</v>
      </c>
      <c r="D328" s="3260">
        <v>0.15</v>
      </c>
      <c r="E328" s="3260">
        <v>0.15</v>
      </c>
      <c r="F328" s="3260">
        <v>0.126</v>
      </c>
      <c r="G328" s="3261">
        <v>0.15</v>
      </c>
    </row>
    <row r="329" spans="1:7">
      <c r="A329" s="3270" t="s">
        <v>303</v>
      </c>
      <c r="B329" s="3259" t="s">
        <v>2875</v>
      </c>
      <c r="C329" s="3260">
        <v>0.15</v>
      </c>
      <c r="D329" s="3260">
        <v>0.15</v>
      </c>
      <c r="E329" s="3260">
        <v>0.15</v>
      </c>
      <c r="F329" s="3260">
        <v>0.15</v>
      </c>
      <c r="G329" s="3261">
        <v>0.15</v>
      </c>
    </row>
    <row r="330" spans="1:7">
      <c r="A330" s="3270" t="s">
        <v>303</v>
      </c>
      <c r="B330" s="3259" t="s">
        <v>2879</v>
      </c>
      <c r="C330" s="3260">
        <v>0.15</v>
      </c>
      <c r="D330" s="3260">
        <v>0.15</v>
      </c>
      <c r="E330" s="3260">
        <v>0.15</v>
      </c>
      <c r="F330" s="3260">
        <v>0.15</v>
      </c>
      <c r="G330" s="3261">
        <v>0.15</v>
      </c>
    </row>
    <row r="331" spans="1:7">
      <c r="A331" s="3270" t="s">
        <v>303</v>
      </c>
      <c r="B331" s="3259" t="s">
        <v>157</v>
      </c>
      <c r="C331" s="3260">
        <v>0.15</v>
      </c>
      <c r="D331" s="3260">
        <v>0.15</v>
      </c>
      <c r="E331" s="3260">
        <v>0.15</v>
      </c>
      <c r="F331" s="3260">
        <v>0.15</v>
      </c>
      <c r="G331" s="3261">
        <v>0.15</v>
      </c>
    </row>
    <row r="332" spans="1:7">
      <c r="A332" s="3270" t="s">
        <v>303</v>
      </c>
      <c r="B332" s="3259" t="s">
        <v>2887</v>
      </c>
      <c r="C332" s="3260">
        <v>0.15</v>
      </c>
      <c r="D332" s="3260">
        <v>0.15</v>
      </c>
      <c r="E332" s="3260">
        <v>0.15</v>
      </c>
      <c r="F332" s="3260">
        <v>0.15</v>
      </c>
      <c r="G332" s="3261">
        <v>0.15</v>
      </c>
    </row>
    <row r="333" spans="1:7">
      <c r="A333" s="3270" t="s">
        <v>303</v>
      </c>
      <c r="B333" s="3259" t="s">
        <v>2891</v>
      </c>
      <c r="C333" s="3260">
        <v>0.14899999999999999</v>
      </c>
      <c r="D333" s="3260">
        <v>0.14899999999999999</v>
      </c>
      <c r="E333" s="3260">
        <v>0.15</v>
      </c>
      <c r="F333" s="3260">
        <v>0.11600000000000001</v>
      </c>
      <c r="G333" s="3261">
        <v>0.15</v>
      </c>
    </row>
    <row r="334" spans="1:7">
      <c r="A334" s="3270" t="s">
        <v>303</v>
      </c>
      <c r="B334" s="3259" t="s">
        <v>179</v>
      </c>
      <c r="C334" s="3260">
        <v>0.15</v>
      </c>
      <c r="D334" s="3260">
        <v>0.15</v>
      </c>
      <c r="E334" s="3260">
        <v>0.15</v>
      </c>
      <c r="F334" s="3260">
        <v>0.13</v>
      </c>
      <c r="G334" s="3261">
        <v>0.15</v>
      </c>
    </row>
    <row r="335" spans="1:7">
      <c r="A335" s="3270" t="s">
        <v>303</v>
      </c>
      <c r="B335" s="3259" t="s">
        <v>189</v>
      </c>
      <c r="C335" s="3260">
        <v>0.15</v>
      </c>
      <c r="D335" s="3260">
        <v>0.15</v>
      </c>
      <c r="E335" s="3260">
        <v>0.15</v>
      </c>
      <c r="F335" s="3260">
        <v>0.14399999999999999</v>
      </c>
      <c r="G335" s="3261">
        <v>0.15</v>
      </c>
    </row>
    <row r="336" spans="1:7">
      <c r="A336" s="3270" t="s">
        <v>303</v>
      </c>
      <c r="B336" s="3259" t="s">
        <v>2897</v>
      </c>
      <c r="C336" s="3260">
        <v>0.15</v>
      </c>
      <c r="D336" s="3260">
        <v>0.15</v>
      </c>
      <c r="E336" s="3260">
        <v>0.15</v>
      </c>
      <c r="F336" s="3260">
        <v>0.14199999999999999</v>
      </c>
      <c r="G336" s="3261">
        <v>0.15</v>
      </c>
    </row>
    <row r="337" spans="1:7">
      <c r="A337" s="3270" t="s">
        <v>303</v>
      </c>
      <c r="B337" s="3259" t="s">
        <v>2902</v>
      </c>
      <c r="C337" s="3260">
        <v>0.15</v>
      </c>
      <c r="D337" s="3260">
        <v>0.15</v>
      </c>
      <c r="E337" s="3260">
        <v>0.15</v>
      </c>
      <c r="F337" s="3260">
        <v>0.14499999999999999</v>
      </c>
      <c r="G337" s="3261">
        <v>0.15</v>
      </c>
    </row>
    <row r="338" spans="1:7">
      <c r="A338" s="3270" t="s">
        <v>303</v>
      </c>
      <c r="B338" s="3259" t="s">
        <v>216</v>
      </c>
      <c r="C338" s="3260">
        <v>0.15</v>
      </c>
      <c r="D338" s="3260">
        <v>0.15</v>
      </c>
      <c r="E338" s="3260">
        <v>0.15</v>
      </c>
      <c r="F338" s="3260">
        <v>0.15</v>
      </c>
      <c r="G338" s="3261">
        <v>0.15</v>
      </c>
    </row>
    <row r="339" spans="1:7">
      <c r="A339" s="3270" t="s">
        <v>303</v>
      </c>
      <c r="B339" s="3259" t="s">
        <v>224</v>
      </c>
      <c r="C339" s="3260">
        <v>0.15</v>
      </c>
      <c r="D339" s="3260">
        <v>0.15</v>
      </c>
      <c r="E339" s="3260">
        <v>0.15</v>
      </c>
      <c r="F339" s="3260">
        <v>0.14699999999999999</v>
      </c>
      <c r="G339" s="3261">
        <v>0.15</v>
      </c>
    </row>
    <row r="340" spans="1:7">
      <c r="A340" s="3270" t="s">
        <v>303</v>
      </c>
      <c r="B340" s="3259" t="s">
        <v>2909</v>
      </c>
      <c r="C340" s="3260">
        <v>0.14599999999999999</v>
      </c>
      <c r="D340" s="3260">
        <v>0.14599999999999999</v>
      </c>
      <c r="E340" s="3260">
        <v>0.15</v>
      </c>
      <c r="F340" s="3260">
        <v>0.14099999999999999</v>
      </c>
      <c r="G340" s="3261">
        <v>0.14699999999999999</v>
      </c>
    </row>
    <row r="341" spans="1:7">
      <c r="A341" s="3270" t="s">
        <v>303</v>
      </c>
      <c r="B341" s="3259" t="s">
        <v>203</v>
      </c>
      <c r="C341" s="3260">
        <v>0.126</v>
      </c>
      <c r="D341" s="3260">
        <v>0.124</v>
      </c>
      <c r="E341" s="3260">
        <v>0.14099999999999999</v>
      </c>
      <c r="F341" s="3260">
        <v>0.14399999999999999</v>
      </c>
      <c r="G341" s="3261">
        <v>0.13</v>
      </c>
    </row>
    <row r="342" spans="1:7">
      <c r="A342" s="3270" t="s">
        <v>303</v>
      </c>
      <c r="B342" s="3259" t="s">
        <v>2914</v>
      </c>
      <c r="C342" s="3260">
        <v>0.15</v>
      </c>
      <c r="D342" s="3260">
        <v>0.15</v>
      </c>
      <c r="E342" s="3260">
        <v>0.15</v>
      </c>
      <c r="F342" s="3260">
        <v>0.14399999999999999</v>
      </c>
      <c r="G342" s="3261">
        <v>0.15</v>
      </c>
    </row>
    <row r="343" spans="1:7">
      <c r="A343" s="3270" t="s">
        <v>303</v>
      </c>
      <c r="B343" s="3259" t="s">
        <v>253</v>
      </c>
      <c r="C343" s="3260">
        <v>0.15</v>
      </c>
      <c r="D343" s="3260">
        <v>0.15</v>
      </c>
      <c r="E343" s="3260">
        <v>0.15</v>
      </c>
      <c r="F343" s="3260">
        <v>0.128</v>
      </c>
      <c r="G343" s="3261">
        <v>0.15</v>
      </c>
    </row>
    <row r="344" spans="1:7">
      <c r="A344" s="3270" t="s">
        <v>303</v>
      </c>
      <c r="B344" s="3259" t="s">
        <v>261</v>
      </c>
      <c r="C344" s="3260">
        <v>0.15</v>
      </c>
      <c r="D344" s="3260">
        <v>0.15</v>
      </c>
      <c r="E344" s="3260">
        <v>0.15</v>
      </c>
      <c r="F344" s="3260">
        <v>0.14799999999999999</v>
      </c>
      <c r="G344" s="3261">
        <v>0.15</v>
      </c>
    </row>
    <row r="345" spans="1:7">
      <c r="A345" s="3270" t="s">
        <v>303</v>
      </c>
      <c r="B345" s="3259" t="s">
        <v>2922</v>
      </c>
      <c r="C345" s="3260">
        <v>0.15</v>
      </c>
      <c r="D345" s="3260">
        <v>0.15</v>
      </c>
      <c r="E345" s="3260">
        <v>0.15</v>
      </c>
      <c r="F345" s="3260">
        <v>0.13800000000000001</v>
      </c>
      <c r="G345" s="3261">
        <v>0.15</v>
      </c>
    </row>
    <row r="346" spans="1:7">
      <c r="A346" s="3270" t="s">
        <v>303</v>
      </c>
      <c r="B346" s="3259" t="s">
        <v>2924</v>
      </c>
      <c r="C346" s="3260">
        <v>0.15</v>
      </c>
      <c r="D346" s="3260">
        <v>0.15</v>
      </c>
      <c r="E346" s="3260">
        <v>0.15</v>
      </c>
      <c r="F346" s="3260">
        <v>0.14399999999999999</v>
      </c>
      <c r="G346" s="3261">
        <v>0.15</v>
      </c>
    </row>
    <row r="347" spans="1:7">
      <c r="A347" s="3270" t="s">
        <v>303</v>
      </c>
      <c r="B347" s="3259" t="s">
        <v>239</v>
      </c>
      <c r="C347" s="3260">
        <v>0.15</v>
      </c>
      <c r="D347" s="3260">
        <v>0.15</v>
      </c>
      <c r="E347" s="3260">
        <v>0.15</v>
      </c>
      <c r="F347" s="3260">
        <v>0.14599999999999999</v>
      </c>
      <c r="G347" s="3261">
        <v>0.15</v>
      </c>
    </row>
    <row r="348" spans="1:7">
      <c r="A348" s="3270" t="s">
        <v>303</v>
      </c>
      <c r="B348" s="3259" t="s">
        <v>2931</v>
      </c>
      <c r="C348" s="3260">
        <v>0.15</v>
      </c>
      <c r="D348" s="3260">
        <v>0.15</v>
      </c>
      <c r="E348" s="3260">
        <v>0.15</v>
      </c>
      <c r="F348" s="3260">
        <v>0.14399999999999999</v>
      </c>
      <c r="G348" s="3261">
        <v>0.15</v>
      </c>
    </row>
    <row r="349" spans="1:7">
      <c r="A349" s="3270" t="s">
        <v>303</v>
      </c>
      <c r="B349" s="3259" t="s">
        <v>2936</v>
      </c>
      <c r="C349" s="3260">
        <v>0.15</v>
      </c>
      <c r="D349" s="3260">
        <v>0.15</v>
      </c>
      <c r="E349" s="3260">
        <v>0.15</v>
      </c>
      <c r="F349" s="3260">
        <v>0.15</v>
      </c>
      <c r="G349" s="3261">
        <v>0.15</v>
      </c>
    </row>
    <row r="350" spans="1:7">
      <c r="A350" s="3270" t="s">
        <v>303</v>
      </c>
      <c r="B350" s="3259" t="s">
        <v>2939</v>
      </c>
      <c r="C350" s="3260">
        <v>0.15</v>
      </c>
      <c r="D350" s="3260">
        <v>0.15</v>
      </c>
      <c r="E350" s="3260">
        <v>0.15</v>
      </c>
      <c r="F350" s="3260">
        <v>0.14699999999999999</v>
      </c>
      <c r="G350" s="3261">
        <v>0.15</v>
      </c>
    </row>
    <row r="351" spans="1:7">
      <c r="A351" s="3270" t="s">
        <v>303</v>
      </c>
      <c r="B351" s="3259" t="s">
        <v>2944</v>
      </c>
      <c r="C351" s="3260">
        <v>0.15</v>
      </c>
      <c r="D351" s="3260">
        <v>0.15</v>
      </c>
      <c r="E351" s="3260">
        <v>0.15</v>
      </c>
      <c r="F351" s="3260">
        <v>0.13</v>
      </c>
      <c r="G351" s="3261">
        <v>0.15</v>
      </c>
    </row>
    <row r="352" spans="1:7">
      <c r="A352" s="3270" t="s">
        <v>303</v>
      </c>
      <c r="B352" s="3259" t="s">
        <v>2949</v>
      </c>
      <c r="C352" s="3260">
        <v>0.15</v>
      </c>
      <c r="D352" s="3260">
        <v>0.15</v>
      </c>
      <c r="E352" s="3260">
        <v>0.15</v>
      </c>
      <c r="F352" s="3260">
        <v>0.14599999999999999</v>
      </c>
      <c r="G352" s="3261">
        <v>0.15</v>
      </c>
    </row>
    <row r="353" spans="1:7">
      <c r="A353" s="3270" t="s">
        <v>303</v>
      </c>
      <c r="B353" s="3259" t="s">
        <v>2956</v>
      </c>
      <c r="C353" s="3260">
        <v>0.15</v>
      </c>
      <c r="D353" s="3260">
        <v>0.15</v>
      </c>
      <c r="E353" s="3260">
        <v>0.15</v>
      </c>
      <c r="F353" s="3260">
        <v>0.14499999999999999</v>
      </c>
      <c r="G353" s="3261">
        <v>0.15</v>
      </c>
    </row>
    <row r="354" spans="1:7">
      <c r="A354" s="3270" t="s">
        <v>303</v>
      </c>
      <c r="B354" s="3259" t="s">
        <v>276</v>
      </c>
      <c r="C354" s="3260">
        <v>0.15</v>
      </c>
      <c r="D354" s="3260">
        <v>0.15</v>
      </c>
      <c r="E354" s="3260">
        <v>0.15</v>
      </c>
      <c r="F354" s="3260">
        <v>0.14099999999999999</v>
      </c>
      <c r="G354" s="3261">
        <v>0.15</v>
      </c>
    </row>
    <row r="355" spans="1:7">
      <c r="A355" s="3270" t="s">
        <v>303</v>
      </c>
      <c r="B355" s="3259" t="s">
        <v>2969</v>
      </c>
      <c r="C355" s="3260">
        <v>0.15</v>
      </c>
      <c r="D355" s="3260">
        <v>0.15</v>
      </c>
      <c r="E355" s="3260">
        <v>0.15</v>
      </c>
      <c r="F355" s="3260">
        <v>0.15</v>
      </c>
      <c r="G355" s="3261">
        <v>0.15</v>
      </c>
    </row>
    <row r="356" spans="1:7">
      <c r="A356" s="3270" t="s">
        <v>303</v>
      </c>
      <c r="B356" s="3259" t="s">
        <v>2976</v>
      </c>
      <c r="C356" s="3260">
        <v>0.15</v>
      </c>
      <c r="D356" s="3260">
        <v>0.15</v>
      </c>
      <c r="E356" s="3260">
        <v>0.15</v>
      </c>
      <c r="F356" s="3260">
        <v>0.15</v>
      </c>
      <c r="G356" s="3261">
        <v>0.15</v>
      </c>
    </row>
    <row r="357" spans="1:7" ht="14.25" thickBot="1">
      <c r="A357" s="3273" t="s">
        <v>303</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149</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196</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210</v>
      </c>
      <c r="C369" s="3260">
        <v>0.15</v>
      </c>
      <c r="D369" s="3260">
        <v>0.15</v>
      </c>
      <c r="E369" s="3260">
        <v>0.15</v>
      </c>
      <c r="F369" s="3260">
        <v>0.14399999999999999</v>
      </c>
      <c r="G369" s="3261">
        <v>0.15</v>
      </c>
    </row>
    <row r="370" spans="1:7">
      <c r="A370" s="3270" t="s">
        <v>2850</v>
      </c>
      <c r="B370" s="3259" t="s">
        <v>217</v>
      </c>
      <c r="C370" s="3260">
        <v>0.15</v>
      </c>
      <c r="D370" s="3260">
        <v>0.15</v>
      </c>
      <c r="E370" s="3260">
        <v>0.15</v>
      </c>
      <c r="F370" s="3260">
        <v>0.14599999999999999</v>
      </c>
      <c r="G370" s="3261">
        <v>0.15</v>
      </c>
    </row>
    <row r="371" spans="1:7">
      <c r="A371" s="3270" t="s">
        <v>2850</v>
      </c>
      <c r="B371" s="3259" t="s">
        <v>225</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254</v>
      </c>
      <c r="C373" s="3260">
        <v>0.15</v>
      </c>
      <c r="D373" s="3260">
        <v>0.15</v>
      </c>
      <c r="E373" s="3260">
        <v>0.15</v>
      </c>
      <c r="F373" s="3260">
        <v>0.14599999999999999</v>
      </c>
      <c r="G373" s="3261">
        <v>0.15</v>
      </c>
    </row>
    <row r="374" spans="1:7">
      <c r="A374" s="3270" t="s">
        <v>2850</v>
      </c>
      <c r="B374" s="3259" t="s">
        <v>262</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273</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c r="A1" s="3972" t="s">
        <v>3232</v>
      </c>
      <c r="B1" s="3972"/>
      <c r="C1" s="3972"/>
      <c r="D1" s="3972"/>
      <c r="E1" s="3972"/>
      <c r="F1" s="3973"/>
    </row>
    <row r="2" spans="1:6">
      <c r="A2" s="3286" t="s">
        <v>3233</v>
      </c>
      <c r="B2" s="3287"/>
      <c r="C2" s="3287"/>
      <c r="D2" s="3287"/>
      <c r="E2" s="3287"/>
      <c r="F2" s="3287"/>
    </row>
    <row r="3" spans="1:6">
      <c r="A3" s="3286" t="s">
        <v>3234</v>
      </c>
      <c r="B3" s="3287"/>
      <c r="C3" s="3287"/>
      <c r="D3" s="3287"/>
      <c r="E3" s="3287"/>
      <c r="F3" s="3288" t="s">
        <v>3235</v>
      </c>
    </row>
    <row r="4" spans="1:6">
      <c r="A4" s="3289" t="s">
        <v>668</v>
      </c>
      <c r="B4" s="3289" t="s">
        <v>669</v>
      </c>
      <c r="C4" s="3289" t="s">
        <v>17</v>
      </c>
      <c r="D4" s="3289" t="s">
        <v>670</v>
      </c>
      <c r="E4" s="3289" t="s">
        <v>3</v>
      </c>
      <c r="F4" s="3289" t="s">
        <v>3236</v>
      </c>
    </row>
    <row r="5" spans="1:6">
      <c r="A5" s="3290" t="s">
        <v>671</v>
      </c>
      <c r="B5" s="3289"/>
      <c r="C5" s="3289"/>
      <c r="D5" s="3289"/>
      <c r="E5" s="3289"/>
      <c r="F5" s="3291"/>
    </row>
    <row r="6" spans="1:6">
      <c r="A6" s="3290" t="s">
        <v>140</v>
      </c>
      <c r="B6" s="3292">
        <v>35380</v>
      </c>
      <c r="C6" s="3292">
        <v>35180</v>
      </c>
      <c r="D6" s="3292">
        <v>35030</v>
      </c>
      <c r="E6" s="3292">
        <v>13780</v>
      </c>
      <c r="F6" s="3292">
        <v>25980</v>
      </c>
    </row>
    <row r="7" spans="1:6">
      <c r="A7" s="3290" t="s">
        <v>180</v>
      </c>
      <c r="B7" s="3292">
        <v>29960</v>
      </c>
      <c r="C7" s="3292">
        <v>29800</v>
      </c>
      <c r="D7" s="3292">
        <v>29690</v>
      </c>
      <c r="E7" s="3292">
        <v>10100</v>
      </c>
      <c r="F7" s="3292">
        <v>21690</v>
      </c>
    </row>
    <row r="8" spans="1:6">
      <c r="A8" s="3290" t="s">
        <v>292</v>
      </c>
      <c r="B8" s="3292">
        <v>24480</v>
      </c>
      <c r="C8" s="3292">
        <v>24380</v>
      </c>
      <c r="D8" s="3292">
        <v>25590</v>
      </c>
      <c r="E8" s="3292">
        <v>7010</v>
      </c>
      <c r="F8" s="3292">
        <v>17060</v>
      </c>
    </row>
    <row r="9" spans="1:6">
      <c r="A9" s="3290" t="s">
        <v>106</v>
      </c>
      <c r="B9" s="3292">
        <v>19370</v>
      </c>
      <c r="C9" s="3292">
        <v>19290</v>
      </c>
      <c r="D9" s="3292">
        <v>21280</v>
      </c>
      <c r="E9" s="3292">
        <v>4910</v>
      </c>
      <c r="F9" s="3292">
        <v>13090</v>
      </c>
    </row>
    <row r="10" spans="1:6">
      <c r="A10" s="3290" t="s">
        <v>299</v>
      </c>
      <c r="B10" s="3292">
        <v>15050</v>
      </c>
      <c r="C10" s="3292">
        <v>14980</v>
      </c>
      <c r="D10" s="3292">
        <v>17300</v>
      </c>
      <c r="E10" s="3292">
        <v>3450</v>
      </c>
      <c r="F10" s="3292">
        <v>9900</v>
      </c>
    </row>
    <row r="11" spans="1:6">
      <c r="A11" s="3290" t="s">
        <v>25</v>
      </c>
      <c r="B11" s="3292">
        <v>11550</v>
      </c>
      <c r="C11" s="3292">
        <v>11490</v>
      </c>
      <c r="D11" s="3292">
        <v>13850</v>
      </c>
      <c r="E11" s="3292">
        <v>2400</v>
      </c>
      <c r="F11" s="3292">
        <v>7390</v>
      </c>
    </row>
    <row r="12" spans="1:6">
      <c r="A12" s="3290" t="s">
        <v>300</v>
      </c>
      <c r="B12" s="3292">
        <v>8630</v>
      </c>
      <c r="C12" s="3292">
        <v>8580</v>
      </c>
      <c r="D12" s="3292">
        <v>10740</v>
      </c>
      <c r="E12" s="3292">
        <v>1720</v>
      </c>
      <c r="F12" s="3292">
        <v>5420</v>
      </c>
    </row>
    <row r="13" spans="1:6">
      <c r="A13" s="3290" t="s">
        <v>301</v>
      </c>
      <c r="B13" s="3292">
        <v>6620</v>
      </c>
      <c r="C13" s="3292">
        <v>6580</v>
      </c>
      <c r="D13" s="3292">
        <v>7830</v>
      </c>
      <c r="E13" s="3292">
        <v>1260</v>
      </c>
      <c r="F13" s="3292">
        <v>4040</v>
      </c>
    </row>
    <row r="14" spans="1:6">
      <c r="A14" s="3290" t="s">
        <v>302</v>
      </c>
      <c r="B14" s="3292">
        <v>4900</v>
      </c>
      <c r="C14" s="3292">
        <v>4860</v>
      </c>
      <c r="D14" s="3292">
        <v>5540</v>
      </c>
      <c r="E14" s="3292">
        <v>950</v>
      </c>
      <c r="F14" s="3292">
        <v>2930</v>
      </c>
    </row>
    <row r="15" spans="1:6">
      <c r="A15" s="3290" t="s">
        <v>303</v>
      </c>
      <c r="B15" s="3292">
        <v>3380</v>
      </c>
      <c r="C15" s="3292">
        <v>3340</v>
      </c>
      <c r="D15" s="3292">
        <v>3630</v>
      </c>
      <c r="E15" s="3292">
        <v>730</v>
      </c>
      <c r="F15" s="3292">
        <v>1990</v>
      </c>
    </row>
    <row r="16" spans="1:6">
      <c r="A16" s="3290" t="s">
        <v>365</v>
      </c>
      <c r="B16" s="3292">
        <v>2230</v>
      </c>
      <c r="C16" s="3292">
        <v>2200</v>
      </c>
      <c r="D16" s="3292">
        <v>2180</v>
      </c>
      <c r="E16" s="3292">
        <v>570</v>
      </c>
      <c r="F16" s="3292">
        <v>1330</v>
      </c>
    </row>
    <row r="17" spans="1:6">
      <c r="A17" s="3290" t="s">
        <v>366</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44991</v>
      </c>
      <c r="B1" s="3205" t="s">
        <v>2838</v>
      </c>
      <c r="C1" s="3206"/>
      <c r="D1" s="3206"/>
      <c r="E1" s="3206"/>
      <c r="F1" s="3206"/>
      <c r="G1" s="3206"/>
      <c r="H1" s="3206"/>
      <c r="I1" s="3206"/>
      <c r="J1" s="3160"/>
      <c r="K1" s="3206" t="s">
        <v>450</v>
      </c>
      <c r="L1" s="3206"/>
      <c r="M1" s="3206"/>
      <c r="N1" s="3206"/>
      <c r="O1" s="3206"/>
      <c r="P1" s="3206"/>
      <c r="Q1" s="3160"/>
      <c r="R1" s="3974" t="s">
        <v>452</v>
      </c>
      <c r="S1" s="3975"/>
      <c r="T1" s="3975"/>
      <c r="U1" s="3975"/>
      <c r="V1" s="3975"/>
      <c r="W1" s="3975"/>
      <c r="X1" s="3160"/>
      <c r="Y1" s="3974" t="s">
        <v>453</v>
      </c>
      <c r="Z1" s="3975"/>
      <c r="AA1" s="3975"/>
      <c r="AB1" s="3975"/>
      <c r="AC1" s="3975"/>
      <c r="AD1" s="3975"/>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3364</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3355</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6" customFormat="1" ht="14.25" thickTop="1"/>
    <row r="18" spans="1:30" s="3006" customFormat="1">
      <c r="A18" s="3443" t="s">
        <v>3367</v>
      </c>
    </row>
    <row r="19" spans="1:30" s="3006" customFormat="1">
      <c r="I19" s="3203" t="s">
        <v>2823</v>
      </c>
    </row>
    <row r="20" spans="1:30" s="3006"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974" t="s">
        <v>2826</v>
      </c>
      <c r="S21" s="3975"/>
      <c r="T21" s="3975"/>
      <c r="U21" s="3975"/>
      <c r="V21" s="3975"/>
      <c r="W21" s="3975"/>
      <c r="X21" s="3160"/>
      <c r="Y21" s="3974" t="s">
        <v>2827</v>
      </c>
      <c r="Z21" s="3975"/>
      <c r="AA21" s="3975"/>
      <c r="AB21" s="3975"/>
      <c r="AC21" s="3975"/>
      <c r="AD21" s="3975"/>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3365</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3355</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81" t="s">
        <v>448</v>
      </c>
      <c r="C1" s="3981"/>
      <c r="D1" s="3981"/>
      <c r="E1" s="3981"/>
      <c r="F1" s="3981"/>
      <c r="G1" s="3980" t="s">
        <v>449</v>
      </c>
      <c r="H1" s="3980"/>
      <c r="I1" s="3980"/>
      <c r="J1" s="3980"/>
      <c r="K1" s="3980"/>
      <c r="L1" s="3980"/>
      <c r="N1" s="3980" t="s">
        <v>450</v>
      </c>
      <c r="O1" s="3980"/>
      <c r="P1" s="3980"/>
      <c r="Q1" s="3980"/>
      <c r="S1" s="3980" t="s">
        <v>451</v>
      </c>
      <c r="T1" s="3980"/>
      <c r="U1" s="3980"/>
      <c r="V1" s="3980"/>
      <c r="X1" s="3979" t="s">
        <v>452</v>
      </c>
      <c r="Y1" s="3980"/>
      <c r="Z1" s="3980"/>
      <c r="AA1" s="3980"/>
      <c r="AB1" s="3980"/>
      <c r="AD1" s="3979" t="s">
        <v>453</v>
      </c>
      <c r="AE1" s="3980"/>
      <c r="AF1" s="3980"/>
      <c r="AG1" s="3980"/>
      <c r="AH1" s="3980"/>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7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7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7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8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8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7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7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8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8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7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7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7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7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7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7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7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7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7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7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7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8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8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8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8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7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7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7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7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7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7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7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7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7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7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7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7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7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7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7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7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7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7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7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7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7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7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7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7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7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7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7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7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7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7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7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7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7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7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7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7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76">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77">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77">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78">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76">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77">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77">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7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95" t="str">
        <f>IF(项目基本情况!B9="房地产市场价值","估价结果一览表","结果表-2")</f>
        <v>估价结果一览表</v>
      </c>
      <c r="B1" s="3595"/>
      <c r="C1" s="3595"/>
      <c r="D1" s="3595"/>
      <c r="E1" s="3595"/>
      <c r="F1" s="3595"/>
      <c r="G1" s="3595"/>
      <c r="H1" s="3595"/>
      <c r="I1" s="3595"/>
    </row>
    <row r="2" spans="1:9" ht="30" customHeight="1" thickTop="1">
      <c r="A2" s="3596" t="s">
        <v>924</v>
      </c>
      <c r="B2" s="3596" t="s">
        <v>925</v>
      </c>
      <c r="C2" s="3596" t="s">
        <v>926</v>
      </c>
      <c r="D2" s="3596" t="str">
        <f>结果表!D116</f>
        <v>出让国有建设用地使用权价值</v>
      </c>
      <c r="E2" s="3596"/>
      <c r="F2" s="3596" t="str">
        <f>结果表!F116</f>
        <v>在建建筑物价值</v>
      </c>
      <c r="G2" s="3596"/>
      <c r="H2" s="3596" t="str">
        <f>IF(项目基本情况!B9="房地产市场价值","房地产市场价值","房地产价值")</f>
        <v>房地产市场价值</v>
      </c>
      <c r="I2" s="3596"/>
    </row>
    <row r="3" spans="1:9" ht="15">
      <c r="A3" s="3591"/>
      <c r="B3" s="3591"/>
      <c r="C3" s="3591"/>
      <c r="D3" s="854" t="s">
        <v>921</v>
      </c>
      <c r="E3" s="854" t="s">
        <v>927</v>
      </c>
      <c r="F3" s="854" t="s">
        <v>921</v>
      </c>
      <c r="G3" s="854" t="s">
        <v>922</v>
      </c>
      <c r="H3" s="854" t="s">
        <v>921</v>
      </c>
      <c r="I3" s="854" t="s">
        <v>922</v>
      </c>
    </row>
    <row r="4" spans="1:9" ht="15">
      <c r="A4" s="1505" t="str">
        <f>项目基本情况!S2</f>
        <v>北京市房地产</v>
      </c>
      <c r="B4" s="854">
        <f>项目基本情况!C17</f>
        <v>140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91" t="s">
        <v>923</v>
      </c>
      <c r="B5" s="3591"/>
      <c r="C5" s="3591"/>
      <c r="D5" s="3591" t="e">
        <f ca="1">结果表!D119</f>
        <v>#REF!</v>
      </c>
      <c r="E5" s="3591"/>
      <c r="F5" s="3591" t="e">
        <f ca="1">结果表!F119</f>
        <v>#REF!</v>
      </c>
      <c r="G5" s="3591"/>
      <c r="H5" s="3591" t="e">
        <f ca="1">结果表!H119</f>
        <v>#REF!</v>
      </c>
      <c r="I5" s="3591"/>
    </row>
    <row r="6" spans="1:9" ht="15.75">
      <c r="A6" s="3590" t="str">
        <f>结果表!A120</f>
        <v/>
      </c>
      <c r="B6" s="3590"/>
      <c r="C6" s="3590"/>
      <c r="D6" s="3590">
        <f>结果表!D120</f>
        <v>0</v>
      </c>
      <c r="E6" s="3590"/>
      <c r="F6" s="3590"/>
      <c r="G6" s="3590"/>
      <c r="H6" s="3590"/>
      <c r="I6" s="3590"/>
    </row>
    <row r="7" spans="1:9" ht="15">
      <c r="A7" s="3591" t="s">
        <v>923</v>
      </c>
      <c r="B7" s="3591"/>
      <c r="C7" s="3591"/>
      <c r="D7" s="3592" t="str">
        <f>结果表!D121</f>
        <v>零元整</v>
      </c>
      <c r="E7" s="3593"/>
      <c r="F7" s="3593"/>
      <c r="G7" s="3593"/>
      <c r="H7" s="3593"/>
      <c r="I7" s="3594"/>
    </row>
    <row r="8" spans="1:9" ht="15.75">
      <c r="A8" s="3590" t="str">
        <f>结果表!A122</f>
        <v/>
      </c>
      <c r="B8" s="3590"/>
      <c r="C8" s="3590"/>
      <c r="D8" s="3590" t="e">
        <f ca="1">结果表!D122</f>
        <v>#REF!</v>
      </c>
      <c r="E8" s="3590"/>
      <c r="F8" s="3590"/>
      <c r="G8" s="3590"/>
      <c r="H8" s="3590"/>
      <c r="I8" s="3590"/>
    </row>
    <row r="9" spans="1:9" ht="15">
      <c r="A9" s="3591" t="s">
        <v>923</v>
      </c>
      <c r="B9" s="3591"/>
      <c r="C9" s="3591"/>
      <c r="D9" s="3591" t="e">
        <f ca="1">结果表!D123</f>
        <v>#REF!</v>
      </c>
      <c r="E9" s="3591"/>
      <c r="F9" s="3591"/>
      <c r="G9" s="3591"/>
      <c r="H9" s="3591"/>
      <c r="I9" s="3591"/>
    </row>
    <row r="10" spans="1:9" ht="15.75">
      <c r="A10" s="3590" t="str">
        <f>结果表!A124</f>
        <v/>
      </c>
      <c r="B10" s="3590"/>
      <c r="C10" s="3590"/>
      <c r="D10" s="3590" t="str">
        <f>结果表!D124</f>
        <v>——</v>
      </c>
      <c r="E10" s="3590"/>
      <c r="F10" s="3590"/>
      <c r="G10" s="3590"/>
      <c r="H10" s="3590"/>
      <c r="I10" s="3590"/>
    </row>
    <row r="11" spans="1:9" ht="15">
      <c r="A11" s="3591" t="s">
        <v>923</v>
      </c>
      <c r="B11" s="3591"/>
      <c r="C11" s="3591"/>
      <c r="D11" s="3591" t="e">
        <f>结果表!D125</f>
        <v>#VALUE!</v>
      </c>
      <c r="E11" s="3591"/>
      <c r="F11" s="3591"/>
      <c r="G11" s="3591"/>
      <c r="H11" s="3591"/>
      <c r="I11" s="3591"/>
    </row>
    <row r="12" spans="1:9" ht="15.75">
      <c r="A12" s="3590" t="str">
        <f>结果表!A126</f>
        <v/>
      </c>
      <c r="B12" s="3590"/>
      <c r="C12" s="3590"/>
      <c r="D12" s="3590" t="str">
        <f>结果表!D126</f>
        <v>——</v>
      </c>
      <c r="E12" s="3590"/>
      <c r="F12" s="3590"/>
      <c r="G12" s="3590"/>
      <c r="H12" s="3590"/>
      <c r="I12" s="3590"/>
    </row>
    <row r="13" spans="1:9" ht="15.75" thickBot="1">
      <c r="A13" s="3588" t="s">
        <v>923</v>
      </c>
      <c r="B13" s="3588"/>
      <c r="C13" s="3588"/>
      <c r="D13" s="3588" t="e">
        <f>结果表!D127</f>
        <v>#VALUE!</v>
      </c>
      <c r="E13" s="3588"/>
      <c r="F13" s="3588"/>
      <c r="G13" s="3588"/>
      <c r="H13" s="3588"/>
      <c r="I13" s="3588"/>
    </row>
    <row r="14" spans="1:9" ht="15" thickTop="1">
      <c r="A14" s="3589" t="s">
        <v>928</v>
      </c>
      <c r="B14" s="3589"/>
      <c r="C14" s="3589"/>
      <c r="D14" s="3589"/>
      <c r="E14" s="3589"/>
      <c r="F14" s="3589"/>
      <c r="G14" s="3589"/>
      <c r="H14" s="3589"/>
      <c r="I14" s="3589"/>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44991</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03" t="s">
        <v>945</v>
      </c>
      <c r="B1" s="3603"/>
      <c r="C1" s="3603"/>
      <c r="D1" s="3603"/>
    </row>
    <row r="2" spans="1:4" ht="18">
      <c r="A2" s="3604" t="s">
        <v>929</v>
      </c>
      <c r="B2" s="3604"/>
      <c r="C2" s="3604"/>
      <c r="D2" s="3604"/>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604" t="s">
        <v>935</v>
      </c>
      <c r="B6" s="3604"/>
      <c r="C6" s="3604"/>
      <c r="D6" s="3604"/>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605" t="s">
        <v>938</v>
      </c>
      <c r="B11" s="3597"/>
      <c r="C11" s="3597"/>
      <c r="D11" s="3597"/>
    </row>
    <row r="12" spans="1:4" ht="15.75">
      <c r="A12" s="35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2"/>
      <c r="C12" s="3602"/>
      <c r="D12" s="3602"/>
    </row>
    <row r="13" spans="1:4" ht="30" customHeight="1">
      <c r="A13" s="3597" t="str">
        <f>IF(项目基本情况!B8="抵押","3.抵押双方在办理抵押登记手续时，应使用本公司出具的正式《房地产评估报告》，特提醒报告使用者注意。","——")</f>
        <v>——</v>
      </c>
      <c r="B13" s="3602"/>
      <c r="C13" s="3602"/>
      <c r="D13" s="3602"/>
    </row>
    <row r="14" spans="1:4" ht="15.75" customHeight="1">
      <c r="A14" s="3597" t="str">
        <f>IF(项目基本情况!B8="抵押","4.本次评估估价师所知悉的法定优先受偿款情况说明如下：","——")</f>
        <v>——</v>
      </c>
      <c r="B14" s="3602"/>
      <c r="C14" s="3602"/>
      <c r="D14" s="3602"/>
    </row>
    <row r="15" spans="1:4" ht="42" customHeight="1">
      <c r="A15" s="3597" t="str">
        <f>IF(项目基本情况!B8="抵押","（1）"&amp;CONCATENATE(项目基本情况!L20,项目基本情况!L21,项目基本情况!L22),"——")</f>
        <v>——</v>
      </c>
      <c r="B15" s="3597"/>
      <c r="C15" s="3597"/>
      <c r="D15" s="3597"/>
    </row>
    <row r="16" spans="1:4" ht="30" customHeight="1">
      <c r="A16" s="3599" t="s">
        <v>939</v>
      </c>
      <c r="B16" s="3599"/>
      <c r="C16" s="3599"/>
      <c r="D16" s="3599"/>
    </row>
    <row r="17" spans="1:4" ht="144" customHeight="1">
      <c r="A17" s="3599" t="s">
        <v>940</v>
      </c>
      <c r="B17" s="3599"/>
      <c r="C17" s="3599"/>
      <c r="D17" s="3599"/>
    </row>
    <row r="18" spans="1:4" ht="15.75" customHeight="1">
      <c r="A18" s="3597" t="str">
        <f>IF(项目基本情况!B8="抵押",结果表!K120,"——")</f>
        <v>——</v>
      </c>
      <c r="B18" s="3597"/>
      <c r="C18" s="3597"/>
      <c r="D18" s="3597"/>
    </row>
    <row r="19" spans="1:4" ht="46.5" customHeight="1">
      <c r="A19" s="35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7"/>
      <c r="C19" s="3597"/>
      <c r="D19" s="3597"/>
    </row>
    <row r="20" spans="1:4" ht="57.75" customHeight="1">
      <c r="A20" s="35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7"/>
      <c r="C20" s="3597"/>
      <c r="D20" s="3597"/>
    </row>
    <row r="21" spans="1:4" ht="57.75" customHeight="1">
      <c r="A21" s="36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0"/>
      <c r="C21" s="3600"/>
      <c r="D21" s="3600"/>
    </row>
    <row r="22" spans="1:4" ht="18.75" customHeight="1">
      <c r="A22" s="3601" t="s">
        <v>941</v>
      </c>
      <c r="B22" s="3601"/>
      <c r="C22" s="3601"/>
      <c r="D22" s="3601"/>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98">
        <v>42551</v>
      </c>
      <c r="D31" s="35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611" t="s">
        <v>952</v>
      </c>
      <c r="B15" s="3606" t="s">
        <v>105</v>
      </c>
      <c r="C15" s="3607"/>
    </row>
    <row r="16" spans="1:7" ht="13.5">
      <c r="A16" s="3612"/>
      <c r="B16" s="3606" t="s">
        <v>38</v>
      </c>
      <c r="C16" s="3607"/>
    </row>
    <row r="17" spans="1:3" ht="13.5">
      <c r="A17" s="3612"/>
      <c r="B17" s="3609" t="s">
        <v>953</v>
      </c>
      <c r="C17" s="1532" t="s">
        <v>952</v>
      </c>
    </row>
    <row r="18" spans="1:3" ht="13.5">
      <c r="A18" s="3612"/>
      <c r="B18" s="3609"/>
      <c r="C18" s="1532" t="s">
        <v>954</v>
      </c>
    </row>
    <row r="19" spans="1:3" ht="13.5">
      <c r="A19" s="3612"/>
      <c r="B19" s="3609"/>
      <c r="C19" s="1532" t="s">
        <v>955</v>
      </c>
    </row>
    <row r="20" spans="1:3" ht="13.5">
      <c r="A20" s="3613"/>
      <c r="B20" s="3608" t="s">
        <v>956</v>
      </c>
      <c r="C20" s="3607"/>
    </row>
    <row r="21" spans="1:3" ht="13.5">
      <c r="A21" s="1533" t="s">
        <v>957</v>
      </c>
      <c r="B21" s="1534"/>
      <c r="C21" s="1535"/>
    </row>
    <row r="22" spans="1:3" ht="13.5">
      <c r="A22" s="3610" t="s">
        <v>958</v>
      </c>
      <c r="B22" s="3608" t="s">
        <v>959</v>
      </c>
      <c r="C22" s="3607"/>
    </row>
    <row r="23" spans="1:3" ht="13.5">
      <c r="A23" s="3610"/>
      <c r="B23" s="3608" t="s">
        <v>960</v>
      </c>
      <c r="C23" s="3607"/>
    </row>
    <row r="24" spans="1:3" ht="13.5">
      <c r="A24" s="3610"/>
      <c r="B24" s="3608" t="s">
        <v>961</v>
      </c>
      <c r="C24" s="3607"/>
    </row>
    <row r="25" spans="1:3" ht="13.5">
      <c r="A25" s="3610"/>
      <c r="B25" s="3609" t="s">
        <v>962</v>
      </c>
      <c r="C25" s="1532" t="s">
        <v>963</v>
      </c>
    </row>
    <row r="26" spans="1:3" ht="13.5">
      <c r="A26" s="3610"/>
      <c r="B26" s="3609"/>
      <c r="C26" s="1532" t="s">
        <v>964</v>
      </c>
    </row>
    <row r="27" spans="1:3" ht="13.5">
      <c r="A27" s="3610"/>
      <c r="B27" s="3609"/>
      <c r="C27" s="1532" t="s">
        <v>965</v>
      </c>
    </row>
    <row r="28" spans="1:3" ht="13.5">
      <c r="A28" s="3610"/>
      <c r="B28" s="3609"/>
      <c r="C28" s="1532" t="s">
        <v>966</v>
      </c>
    </row>
    <row r="29" spans="1:3" ht="13.5">
      <c r="A29" s="3610"/>
      <c r="B29" s="3609"/>
      <c r="C29" s="1532" t="s">
        <v>967</v>
      </c>
    </row>
    <row r="30" spans="1:3" ht="13.5">
      <c r="A30" s="3610"/>
      <c r="B30" s="3609"/>
      <c r="C30" s="1532" t="s">
        <v>968</v>
      </c>
    </row>
    <row r="31" spans="1:3" ht="13.5">
      <c r="A31" s="3610"/>
      <c r="B31" s="3609"/>
      <c r="C31" s="1532" t="s">
        <v>969</v>
      </c>
    </row>
    <row r="32" spans="1:3" ht="13.5">
      <c r="A32" s="3610"/>
      <c r="B32" s="3609"/>
      <c r="C32" s="1532" t="s">
        <v>970</v>
      </c>
    </row>
    <row r="33" spans="1:3" ht="13.5">
      <c r="A33" s="3610"/>
      <c r="B33" s="3609"/>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45007</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614" t="s">
        <v>2152</v>
      </c>
      <c r="B17" s="3614"/>
      <c r="C17" s="3614"/>
      <c r="D17" s="3614"/>
      <c r="E17" s="3614"/>
      <c r="F17" s="3614"/>
      <c r="G17" s="3614"/>
      <c r="H17" s="3614"/>
    </row>
    <row r="18" spans="1:8" ht="24" customHeight="1">
      <c r="A18" s="3615" t="s">
        <v>2153</v>
      </c>
      <c r="B18" s="3615"/>
      <c r="C18" s="3615"/>
      <c r="D18" s="2341"/>
      <c r="E18" s="3616" t="s">
        <v>2154</v>
      </c>
      <c r="F18" s="3615"/>
      <c r="G18" s="3615"/>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总表</vt:lpstr>
      <vt:lpstr>租金比较法-商业</vt:lpstr>
      <vt:lpstr>比较法-住宅</vt:lpstr>
      <vt:lpstr>售价案例</vt:lpstr>
      <vt:lpstr>租金比较法-住宅 </vt:lpstr>
      <vt:lpstr>租金案例</vt:lpstr>
      <vt:lpstr>比较法-办公</vt:lpstr>
      <vt:lpstr>比较法-工业</vt:lpstr>
      <vt:lpstr>比较法-车位</vt:lpstr>
      <vt:lpstr>比较法-仓储</vt:lpstr>
      <vt:lpstr>土地比较法-住宅、综合</vt:lpstr>
      <vt:lpstr>系统读取表</vt:lpstr>
      <vt:lpstr>收益法倒推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2023-03-22T11:39:35Z</dcterms:modified>
</cp:coreProperties>
</file>