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D45B3828-DB64-497F-AE61-828054633892}" xr6:coauthVersionLast="47" xr6:coauthVersionMax="47"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面积" sheetId="8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收益法" sheetId="15" r:id="rId35"/>
    <sheet name="基准地价修正" sheetId="43" state="hidden" r:id="rId36"/>
    <sheet name="比较法-商业" sheetId="33" state="hidden" r:id="rId37"/>
    <sheet name="土地案例" sheetId="80" r:id="rId38"/>
    <sheet name="基准地价" sheetId="81" r:id="rId39"/>
    <sheet name="核心假设及结论"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2">#REF!</definedName>
    <definedName name="_CPP1">[1]CPP1!#REF!</definedName>
    <definedName name="_CPP10">[1]CPP10!#REF!</definedName>
    <definedName name="_CPP19">[1]CPP19!#REF!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6" hidden="1">'比较法-商业'!$A$1:$L$49</definedName>
    <definedName name="_xlnm._FilterDatabase" localSheetId="25" hidden="1">'比较法-住宅'!$A$1:$L$49</definedName>
    <definedName name="_xlnm._FilterDatabase" localSheetId="13"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2" hidden="1">项目基本情况!$A$42:$N$42</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[2]租赁合同基础台账!#REF!</definedName>
    <definedName name="akak">'[3]Cashflow(Scenario)'!$C$30</definedName>
    <definedName name="ALBERT_COMPLEX">#REF!</definedName>
    <definedName name="as">#REF!</definedName>
    <definedName name="B">#REF!</definedName>
    <definedName name="BUGIS_VILLAGE">#REF!</definedName>
    <definedName name="CAIRNHILL_PLACE">#REF!</definedName>
    <definedName name="CASHclear">[4]货币资金!$E$9:$E$38,[4]货币资金!$E$41:$E$45,[4]货币资金!$E$48:$E$52,[4]货币资金!$E$55:$E$61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[4]递延所得税资产!$F$10:$F$21,[4]递延所得税资产!$F$44:$F$56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'[5]Cashflow(Scenario)'!$C$30</definedName>
    <definedName name="eq">'[3]Cashflow(Scenario)'!$C$30</definedName>
    <definedName name="equ">'[6]Cashflow(Scenario)'!$C$30</definedName>
    <definedName name="Equity_IRR">'[3]Cashflow(Scenario)'!$C$30</definedName>
    <definedName name="EQUITYclear">[4]权益变动表!$H$8:$H$16,[4]权益变动表!$H$18:$H$23,[4]权益变动表!$H$25:$H$28,[4]权益变动表!$H$30:$H$34,[4]权益变动表!#REF!,[4]权益变动表!#REF!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'[3]Cashflow(Scenario)'!$C$30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'[7]Cashflow(Scenario)'!$C$30</definedName>
    <definedName name="Marcom">'[7]Cashflow(Scenario)'!$C$30</definedName>
    <definedName name="MD">#REF!</definedName>
    <definedName name="MTH4clear">#REF!</definedName>
    <definedName name="NAME_OF_PROPERTY_项目__嘉信茂广场·雨花亭">#REF!</definedName>
    <definedName name="NFA">#REF!</definedName>
    <definedName name="Note6">'[7]Cashflow(Scenario)'!$C$30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7">系统读取表!$A$1:$I$26</definedName>
    <definedName name="_xlnm.Print_Area" localSheetId="12">项目基本情况!$A$1:$I$38</definedName>
    <definedName name="Purchase_Price">#REF!</definedName>
    <definedName name="q">'[3]Cashflow(Scenario)'!$C$30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[4]存货!$F$9:$F$19,[4]存货!$F$21:$F$31,[4]存货!$F$33:$F$43,[4]存货!$F$46:$F$56</definedName>
    <definedName name="timing">#REF!</definedName>
    <definedName name="TotalCMTGearing2003">#REF!</definedName>
    <definedName name="UFPrn20130827141254">#REF!</definedName>
    <definedName name="w">'[5]Cashflow(Scenario)'!$C$30</definedName>
    <definedName name="WarehseRentalGrowth_evy2yr">#REF!</definedName>
    <definedName name="zhcoa">'[8]ZH COA'!$B$3:$C$2900</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管理费用标准">'[9]1、参数'!$B$33</definedName>
    <definedName name="核算项目明细账">#REF!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'[7]Cashflow(Scenario)'!$C$30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'[10]数据-汇总表'!$C$17:$C$26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T23" i="1" l="1"/>
  <c r="T24" i="1"/>
  <c r="T25" i="1"/>
  <c r="T26" i="1"/>
  <c r="T22" i="1"/>
  <c r="R22" i="1"/>
  <c r="L7" i="83"/>
  <c r="R7" i="83"/>
  <c r="O6" i="83"/>
  <c r="O7" i="83" s="1"/>
  <c r="P6" i="83"/>
  <c r="P7" i="83" s="1"/>
  <c r="Q6" i="83"/>
  <c r="Q7" i="83" s="1"/>
  <c r="R6" i="83"/>
  <c r="S6" i="83"/>
  <c r="S7" i="83" s="1"/>
  <c r="N6" i="83"/>
  <c r="C70" i="83"/>
  <c r="D64" i="83"/>
  <c r="D61" i="83"/>
  <c r="D58" i="83"/>
  <c r="C21" i="83"/>
  <c r="D21" i="83" s="1"/>
  <c r="E21" i="83" s="1"/>
  <c r="C20" i="83"/>
  <c r="D20" i="83" s="1"/>
  <c r="E20" i="83" s="1"/>
  <c r="C19" i="83"/>
  <c r="D19" i="83" s="1"/>
  <c r="C18" i="83"/>
  <c r="D18" i="83" s="1"/>
  <c r="D60" i="83" s="1"/>
  <c r="C17" i="83"/>
  <c r="D17" i="83" s="1"/>
  <c r="D10" i="83"/>
  <c r="E10" i="83" s="1"/>
  <c r="C10" i="83"/>
  <c r="K26" i="1"/>
  <c r="L30" i="1" s="1"/>
  <c r="N7" i="83" l="1"/>
  <c r="N8" i="83" s="1"/>
  <c r="D65" i="83"/>
  <c r="E19" i="83"/>
  <c r="D59" i="83"/>
  <c r="E17" i="83"/>
  <c r="F10" i="83"/>
  <c r="E18" i="83"/>
  <c r="G10" i="83" l="1"/>
  <c r="H10" i="83" l="1"/>
  <c r="D11" i="83" l="1"/>
  <c r="F11" i="83" l="1"/>
  <c r="C11" i="83"/>
  <c r="C12" i="83" s="1"/>
  <c r="E11" i="83"/>
  <c r="E12" i="83" s="1"/>
  <c r="D12" i="83" l="1"/>
  <c r="G11" i="83"/>
  <c r="G12" i="83" s="1"/>
  <c r="F12" i="83"/>
  <c r="H11" i="83" l="1"/>
  <c r="I12" i="83" l="1"/>
  <c r="H12" i="83"/>
  <c r="E13" i="73"/>
  <c r="K13" i="3" l="1"/>
  <c r="I14" i="3"/>
  <c r="I15" i="3"/>
  <c r="I16" i="3"/>
  <c r="I17" i="3"/>
  <c r="I18" i="3"/>
  <c r="I19" i="3"/>
  <c r="I20" i="3"/>
  <c r="C14" i="3"/>
  <c r="C15" i="3"/>
  <c r="C16" i="3"/>
  <c r="C17" i="3"/>
  <c r="C18" i="3"/>
  <c r="C19" i="3"/>
  <c r="C20" i="3"/>
  <c r="C13" i="3"/>
  <c r="E14" i="82"/>
  <c r="E15" i="82"/>
  <c r="K25" i="1" s="1"/>
  <c r="R26" i="1"/>
  <c r="R25" i="1"/>
  <c r="R24" i="1"/>
  <c r="R23" i="1"/>
  <c r="L29" i="1" l="1"/>
  <c r="K28" i="1" s="1"/>
  <c r="K24" i="1"/>
  <c r="I46" i="39"/>
  <c r="G46" i="39"/>
  <c r="E46" i="39"/>
  <c r="I38" i="39"/>
  <c r="G38" i="39"/>
  <c r="E38" i="39"/>
  <c r="C38" i="39"/>
  <c r="K27" i="1" l="1"/>
  <c r="K36" i="1" s="1"/>
  <c r="D70" i="39"/>
  <c r="E70" i="39" s="1"/>
  <c r="F70" i="39" s="1"/>
  <c r="G70" i="39" s="1"/>
  <c r="H70" i="39" s="1"/>
  <c r="I70" i="39" s="1"/>
  <c r="J70" i="39" s="1"/>
  <c r="K70" i="39" s="1"/>
  <c r="L70" i="39" s="1"/>
  <c r="M70" i="39" s="1"/>
  <c r="N70" i="39" s="1"/>
  <c r="O70" i="39" s="1"/>
  <c r="I7" i="39"/>
  <c r="G7" i="39"/>
  <c r="E7" i="39"/>
  <c r="I5" i="39"/>
  <c r="G5" i="39"/>
  <c r="E5" i="39"/>
  <c r="Y6" i="1"/>
  <c r="K38" i="1" l="1"/>
  <c r="K37" i="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B55" i="78"/>
  <c r="D55" i="78" s="1"/>
  <c r="D53" i="78"/>
  <c r="D52" i="78"/>
  <c r="B51" i="78"/>
  <c r="B56" i="78" s="1"/>
  <c r="D51" i="78" l="1"/>
  <c r="C51" i="78"/>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T33" i="79"/>
  <c r="T34" i="79"/>
  <c r="T35" i="79"/>
  <c r="AD38" i="79"/>
  <c r="AD37" i="79"/>
  <c r="AD36"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33" i="79"/>
  <c r="AK33" i="79" s="1"/>
  <c r="AH33" i="79"/>
  <c r="W13" i="79"/>
  <c r="AK13" i="79" s="1"/>
  <c r="AH1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5" i="79"/>
  <c r="AK15" i="79" s="1"/>
  <c r="AH15" i="79"/>
  <c r="W43" i="79"/>
  <c r="AK43" i="79" s="1"/>
  <c r="AH43" i="79"/>
  <c r="W38" i="79"/>
  <c r="AK38" i="79" s="1"/>
  <c r="AH3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C38" i="71" s="1"/>
  <c r="N37" i="71"/>
  <c r="B38" i="71" s="1"/>
  <c r="D37" i="71"/>
  <c r="Q36" i="71"/>
  <c r="AB36" i="71" s="1"/>
  <c r="P36" i="71"/>
  <c r="O36" i="71"/>
  <c r="N36" i="71"/>
  <c r="Q35" i="71"/>
  <c r="AB35" i="71" s="1"/>
  <c r="P35" i="71"/>
  <c r="O35" i="71"/>
  <c r="N35" i="71"/>
  <c r="Q34" i="71"/>
  <c r="AB34" i="71" s="1"/>
  <c r="P34" i="71"/>
  <c r="O34" i="71"/>
  <c r="N34" i="71"/>
  <c r="X34" i="71" s="1"/>
  <c r="Q33" i="7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7" i="71" s="1"/>
  <c r="Z27" i="71" s="1"/>
  <c r="N28" i="71"/>
  <c r="B28" i="71" s="1"/>
  <c r="B27" i="71" s="1"/>
  <c r="B26" i="71" s="1"/>
  <c r="B30" i="71"/>
  <c r="B31" i="71" s="1"/>
  <c r="B32" i="71" s="1"/>
  <c r="S32" i="71" s="1"/>
  <c r="E30" i="71"/>
  <c r="E31" i="71" s="1"/>
  <c r="E32" i="71" s="1"/>
  <c r="U32" i="71" s="1"/>
  <c r="B39" i="71"/>
  <c r="E34" i="71"/>
  <c r="X31" i="71"/>
  <c r="P28" i="71"/>
  <c r="U68" i="71"/>
  <c r="E67" i="71"/>
  <c r="E66" i="71" s="1"/>
  <c r="Q28" i="71"/>
  <c r="F28" i="71" s="1"/>
  <c r="C63" i="71"/>
  <c r="C64" i="71" s="1"/>
  <c r="D62" i="71"/>
  <c r="T68" i="71"/>
  <c r="C67" i="71"/>
  <c r="D67" i="71" s="1"/>
  <c r="Q68" i="71"/>
  <c r="E71" i="71"/>
  <c r="E70" i="71" s="1"/>
  <c r="C75" i="71"/>
  <c r="C74" i="71" s="1"/>
  <c r="D74" i="71" s="1"/>
  <c r="D76" i="71"/>
  <c r="D63" i="71"/>
  <c r="D7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Q18" i="36"/>
  <c r="Z18" i="36"/>
  <c r="D66" i="36"/>
  <c r="E66" i="36" s="1"/>
  <c r="F66" i="36" s="1"/>
  <c r="G66" i="36" s="1"/>
  <c r="H18" i="36"/>
  <c r="AB18" i="36" s="1"/>
  <c r="F18" i="36"/>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1" i="34"/>
  <c r="H25" i="40"/>
  <c r="AB25" i="40" s="1"/>
  <c r="J25" i="40"/>
  <c r="H29" i="39"/>
  <c r="AB29" i="39" s="1"/>
  <c r="J29" i="39"/>
  <c r="J18" i="36"/>
  <c r="AC18" i="36" s="1"/>
  <c r="H18" i="35"/>
  <c r="AB18" i="35" s="1"/>
  <c r="J18" i="35"/>
  <c r="H21" i="37"/>
  <c r="U21" i="37" s="1"/>
  <c r="F21" i="37"/>
  <c r="AA21" i="37" s="1"/>
  <c r="H21" i="34"/>
  <c r="AB21" i="34" s="1"/>
  <c r="H21" i="33"/>
  <c r="U21" i="33" s="1"/>
  <c r="F21" i="33"/>
  <c r="S21" i="33" s="1"/>
  <c r="H1" i="69"/>
  <c r="AC25" i="40"/>
  <c r="W25" i="40"/>
  <c r="U25" i="40"/>
  <c r="W18" i="36"/>
  <c r="U21" i="34"/>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F19" i="6" s="1"/>
  <c r="S21"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H31" i="40" s="1"/>
  <c r="U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F107" i="37" s="1"/>
  <c r="G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E71" i="37" s="1"/>
  <c r="F71" i="37" s="1"/>
  <c r="G71" i="37" s="1"/>
  <c r="H15" i="37"/>
  <c r="AB15" i="37" s="1"/>
  <c r="B68" i="37"/>
  <c r="H14" i="37" s="1"/>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Q30" i="37"/>
  <c r="Z30" i="37" s="1"/>
  <c r="J30" i="37"/>
  <c r="AC30" i="37" s="1"/>
  <c r="H30" i="37"/>
  <c r="AB30" i="37" s="1"/>
  <c r="F30" i="37"/>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s="1"/>
  <c r="AC30" i="36"/>
  <c r="Q29" i="36"/>
  <c r="Z29" i="36" s="1"/>
  <c r="Q28" i="36"/>
  <c r="Z28" i="36" s="1"/>
  <c r="J28" i="36"/>
  <c r="Q27" i="36"/>
  <c r="Z27" i="36" s="1"/>
  <c r="Q26" i="36"/>
  <c r="Z26" i="36" s="1"/>
  <c r="H26" i="36"/>
  <c r="AB26" i="36" s="1"/>
  <c r="Q25" i="36"/>
  <c r="Z25" i="36" s="1"/>
  <c r="Q24" i="36"/>
  <c r="Z24" i="36"/>
  <c r="Q23" i="36"/>
  <c r="Z23" i="36"/>
  <c r="Q22" i="36"/>
  <c r="Z22" i="36" s="1"/>
  <c r="J22" i="36"/>
  <c r="AC22" i="36" s="1"/>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s="1"/>
  <c r="B73" i="35"/>
  <c r="B57" i="35"/>
  <c r="B61" i="35"/>
  <c r="B59" i="35"/>
  <c r="H12" i="35" s="1"/>
  <c r="U12" i="35" s="1"/>
  <c r="B131" i="34"/>
  <c r="B129" i="34"/>
  <c r="B127" i="34"/>
  <c r="B99" i="34"/>
  <c r="B97" i="34"/>
  <c r="F31" i="34" s="1"/>
  <c r="B95" i="34"/>
  <c r="B93" i="34"/>
  <c r="B75" i="34"/>
  <c r="B73" i="34"/>
  <c r="B71" i="34"/>
  <c r="J12" i="34" s="1"/>
  <c r="W12" i="34" s="1"/>
  <c r="B130" i="33"/>
  <c r="B128" i="33"/>
  <c r="B126" i="33"/>
  <c r="H44" i="33" s="1"/>
  <c r="U44" i="33" s="1"/>
  <c r="B98" i="33"/>
  <c r="B96" i="33"/>
  <c r="B94" i="33"/>
  <c r="B74" i="33"/>
  <c r="H14" i="33" s="1"/>
  <c r="U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AB12" i="34" s="1"/>
  <c r="F12" i="34"/>
  <c r="S12" i="34" s="1"/>
  <c r="Q11" i="34"/>
  <c r="Z11" i="34" s="1"/>
  <c r="Q10" i="34"/>
  <c r="Z10" i="34"/>
  <c r="F10" i="34"/>
  <c r="AA10" i="34" s="1"/>
  <c r="Q9" i="34"/>
  <c r="Z9" i="34"/>
  <c r="J9" i="34"/>
  <c r="AC9" i="34" s="1"/>
  <c r="H9" i="34"/>
  <c r="J8" i="34"/>
  <c r="AC8" i="34" s="1"/>
  <c r="H8" i="34"/>
  <c r="U8" i="34" s="1"/>
  <c r="F8" i="34"/>
  <c r="S8" i="34" s="1"/>
  <c r="D121" i="33"/>
  <c r="E121" i="33" s="1"/>
  <c r="F109" i="33"/>
  <c r="E109" i="33"/>
  <c r="D109" i="33"/>
  <c r="C109" i="33"/>
  <c r="D91" i="33"/>
  <c r="E91" i="33"/>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c r="J39" i="33"/>
  <c r="AC39" i="33" s="1"/>
  <c r="Q38" i="33"/>
  <c r="Z38" i="33" s="1"/>
  <c r="J38" i="33"/>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54" i="43" s="1"/>
  <c r="C21" i="20"/>
  <c r="B99" i="43" s="1"/>
  <c r="C20" i="20"/>
  <c r="C18" i="20"/>
  <c r="B94" i="43" s="1"/>
  <c r="C17" i="20"/>
  <c r="C19" i="39"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B130" i="21"/>
  <c r="F46" i="21" s="1"/>
  <c r="B128" i="21"/>
  <c r="J45" i="21" s="1"/>
  <c r="B126" i="21"/>
  <c r="B98" i="21"/>
  <c r="B96" i="21"/>
  <c r="B94" i="21"/>
  <c r="J29" i="21" s="1"/>
  <c r="AC29" i="21" s="1"/>
  <c r="B92" i="21"/>
  <c r="H28" i="21" s="1"/>
  <c r="AB28" i="21" s="1"/>
  <c r="B90" i="21"/>
  <c r="J27" i="21" s="1"/>
  <c r="W27" i="21" s="1"/>
  <c r="B74" i="21"/>
  <c r="H14" i="21" s="1"/>
  <c r="B72" i="21"/>
  <c r="H13" i="21"/>
  <c r="AB13" i="21" s="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F36" i="21"/>
  <c r="S36" i="21" s="1"/>
  <c r="F39" i="21"/>
  <c r="AA39" i="2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AB41" i="21"/>
  <c r="S41" i="21"/>
  <c r="AA41" i="21"/>
  <c r="J45" i="39"/>
  <c r="W45" i="39" s="1"/>
  <c r="J44" i="39"/>
  <c r="F36" i="39"/>
  <c r="S36" i="39" s="1"/>
  <c r="H36" i="39"/>
  <c r="AB36"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U31" i="35"/>
  <c r="F36" i="34"/>
  <c r="J35" i="34"/>
  <c r="H39" i="33"/>
  <c r="F26" i="33"/>
  <c r="AA26" i="33" s="1"/>
  <c r="U33" i="33"/>
  <c r="W39" i="33"/>
  <c r="S27" i="35"/>
  <c r="F11" i="40"/>
  <c r="AA11" i="40" s="1"/>
  <c r="H11" i="40"/>
  <c r="AB11" i="40" s="1"/>
  <c r="W8" i="40"/>
  <c r="AA9" i="40"/>
  <c r="S34" i="40"/>
  <c r="U34" i="40"/>
  <c r="F42" i="39"/>
  <c r="AA42" i="39" s="1"/>
  <c r="F41" i="39"/>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AC31" i="39" s="1"/>
  <c r="H27" i="39"/>
  <c r="U27" i="39" s="1"/>
  <c r="J19" i="39"/>
  <c r="AC19" i="39" s="1"/>
  <c r="J17" i="39"/>
  <c r="W17" i="39" s="1"/>
  <c r="J27" i="39"/>
  <c r="AC27" i="39" s="1"/>
  <c r="F27" i="39"/>
  <c r="S27" i="39" s="1"/>
  <c r="F11" i="21"/>
  <c r="S11" i="21" s="1"/>
  <c r="S40" i="21"/>
  <c r="U34" i="21"/>
  <c r="C15" i="39"/>
  <c r="H32" i="33"/>
  <c r="AB32" i="33"/>
  <c r="H11" i="21"/>
  <c r="U11" i="21" s="1"/>
  <c r="J11" i="21"/>
  <c r="W11" i="21" s="1"/>
  <c r="H37" i="40"/>
  <c r="U37" i="40"/>
  <c r="H36" i="40"/>
  <c r="AB36" i="40" s="1"/>
  <c r="F35" i="40"/>
  <c r="AA35" i="40" s="1"/>
  <c r="H23" i="40"/>
  <c r="AB23" i="40" s="1"/>
  <c r="H17" i="40"/>
  <c r="U17" i="40"/>
  <c r="J15" i="40"/>
  <c r="W15" i="40" s="1"/>
  <c r="J11" i="40"/>
  <c r="AC12" i="34"/>
  <c r="AB12" i="35"/>
  <c r="W32" i="40"/>
  <c r="F37" i="39"/>
  <c r="U30" i="36"/>
  <c r="J30" i="35"/>
  <c r="W30" i="35" s="1"/>
  <c r="H30" i="35"/>
  <c r="AB30" i="35" s="1"/>
  <c r="F22" i="35"/>
  <c r="AA22" i="35"/>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AC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AB23" i="34" s="1"/>
  <c r="J23" i="34"/>
  <c r="F19" i="34"/>
  <c r="S19" i="34" s="1"/>
  <c r="H17" i="34"/>
  <c r="U17" i="34" s="1"/>
  <c r="F15" i="34"/>
  <c r="AA15" i="34" s="1"/>
  <c r="J15" i="34"/>
  <c r="W15" i="34" s="1"/>
  <c r="H15" i="34"/>
  <c r="AB15" i="34" s="1"/>
  <c r="W8" i="34"/>
  <c r="J28" i="34"/>
  <c r="W28" i="34" s="1"/>
  <c r="F41" i="33"/>
  <c r="S41" i="33" s="1"/>
  <c r="S38" i="33"/>
  <c r="E113" i="33"/>
  <c r="F113" i="33" s="1"/>
  <c r="G113" i="33" s="1"/>
  <c r="H113" i="33" s="1"/>
  <c r="I113" i="33" s="1"/>
  <c r="J113" i="33" s="1"/>
  <c r="K113" i="33" s="1"/>
  <c r="L113" i="33" s="1"/>
  <c r="M113" i="33" s="1"/>
  <c r="F32" i="33"/>
  <c r="AA32" i="33" s="1"/>
  <c r="J19" i="33"/>
  <c r="AC19" i="33" s="1"/>
  <c r="J15" i="33"/>
  <c r="W15" i="33" s="1"/>
  <c r="F11" i="33"/>
  <c r="AA11" i="33" s="1"/>
  <c r="S26" i="33"/>
  <c r="W40" i="33"/>
  <c r="F37" i="40"/>
  <c r="AA37" i="40"/>
  <c r="F36" i="40"/>
  <c r="AA36" i="40"/>
  <c r="H28" i="40"/>
  <c r="U28" i="40"/>
  <c r="F23" i="40"/>
  <c r="S23"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J36" i="34"/>
  <c r="W36" i="34" s="1"/>
  <c r="H37" i="34"/>
  <c r="U37" i="34" s="1"/>
  <c r="H25" i="34"/>
  <c r="AB25" i="34" s="1"/>
  <c r="J25" i="34"/>
  <c r="AC25" i="34" s="1"/>
  <c r="F23" i="34"/>
  <c r="J19" i="34"/>
  <c r="AC19" i="34" s="1"/>
  <c r="F17" i="34"/>
  <c r="AA17" i="34" s="1"/>
  <c r="J17" i="34"/>
  <c r="W17" i="34" s="1"/>
  <c r="AB17" i="34"/>
  <c r="H37" i="33"/>
  <c r="AB37" i="33" s="1"/>
  <c r="H15" i="33"/>
  <c r="H11" i="33"/>
  <c r="AB11" i="33" s="1"/>
  <c r="F28" i="40"/>
  <c r="AA28" i="40" s="1"/>
  <c r="AA29" i="35"/>
  <c r="AA42" i="34"/>
  <c r="S42" i="34"/>
  <c r="AC38" i="34"/>
  <c r="AA38" i="34"/>
  <c r="J37" i="34"/>
  <c r="AC37" i="34" s="1"/>
  <c r="J11" i="33"/>
  <c r="S28" i="34"/>
  <c r="I123" i="21"/>
  <c r="J123" i="21" s="1"/>
  <c r="K123" i="21" s="1"/>
  <c r="L123" i="21" s="1"/>
  <c r="M123" i="21" s="1"/>
  <c r="J42" i="21"/>
  <c r="AC42" i="21" s="1"/>
  <c r="H42" i="21"/>
  <c r="J44" i="34"/>
  <c r="W44" i="34" s="1"/>
  <c r="F44" i="34"/>
  <c r="AA44" i="34" s="1"/>
  <c r="J10" i="35"/>
  <c r="AC10" i="35" s="1"/>
  <c r="J14" i="21"/>
  <c r="W14" i="21" s="1"/>
  <c r="F14" i="21"/>
  <c r="S14" i="21" s="1"/>
  <c r="U14" i="21"/>
  <c r="F28" i="21"/>
  <c r="J28" i="21"/>
  <c r="J30" i="21"/>
  <c r="AC30" i="21" s="1"/>
  <c r="J44" i="21"/>
  <c r="H44" i="21"/>
  <c r="U44" i="21" s="1"/>
  <c r="F44" i="21"/>
  <c r="AA44" i="21" s="1"/>
  <c r="H46" i="21"/>
  <c r="U46" i="21" s="1"/>
  <c r="J46" i="21"/>
  <c r="AA46" i="21"/>
  <c r="H26" i="33"/>
  <c r="U26" i="33" s="1"/>
  <c r="H28" i="33"/>
  <c r="U28" i="33" s="1"/>
  <c r="F28" i="33"/>
  <c r="J28" i="33"/>
  <c r="W28" i="33" s="1"/>
  <c r="F33" i="35"/>
  <c r="J33" i="35"/>
  <c r="AC33" i="35" s="1"/>
  <c r="F30" i="35"/>
  <c r="S30" i="35" s="1"/>
  <c r="E89" i="35"/>
  <c r="F89" i="35" s="1"/>
  <c r="G89" i="35"/>
  <c r="H89" i="35" s="1"/>
  <c r="I89" i="35" s="1"/>
  <c r="J89" i="35" s="1"/>
  <c r="K89" i="35" s="1"/>
  <c r="L89" i="35" s="1"/>
  <c r="M89" i="35" s="1"/>
  <c r="H10" i="36"/>
  <c r="AB10" i="36" s="1"/>
  <c r="J14" i="36"/>
  <c r="W14" i="36" s="1"/>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J14" i="34"/>
  <c r="W14" i="34" s="1"/>
  <c r="F14" i="34"/>
  <c r="S14" i="34"/>
  <c r="H14" i="34"/>
  <c r="AB14" i="34" s="1"/>
  <c r="H30" i="34"/>
  <c r="F30" i="34"/>
  <c r="S30" i="34"/>
  <c r="J30" i="34"/>
  <c r="H32" i="34"/>
  <c r="AB32" i="34" s="1"/>
  <c r="F32" i="34"/>
  <c r="J32" i="34"/>
  <c r="W32" i="34" s="1"/>
  <c r="H46" i="34"/>
  <c r="AB46" i="34" s="1"/>
  <c r="U46" i="34"/>
  <c r="F46" i="34"/>
  <c r="J46" i="34"/>
  <c r="H11" i="35"/>
  <c r="AB11" i="35" s="1"/>
  <c r="J11" i="35"/>
  <c r="F11" i="35"/>
  <c r="S11" i="35" s="1"/>
  <c r="J26" i="36"/>
  <c r="W26" i="36" s="1"/>
  <c r="H28" i="36"/>
  <c r="U28" i="36" s="1"/>
  <c r="H32" i="36"/>
  <c r="J32" i="36"/>
  <c r="W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W12" i="40"/>
  <c r="F14" i="33"/>
  <c r="S14" i="33" s="1"/>
  <c r="J14" i="33"/>
  <c r="AC14" i="33" s="1"/>
  <c r="H30" i="33"/>
  <c r="AB30" i="33" s="1"/>
  <c r="F30" i="33"/>
  <c r="J30" i="33"/>
  <c r="J44" i="33"/>
  <c r="AC44" i="33" s="1"/>
  <c r="F44" i="33"/>
  <c r="S44" i="33" s="1"/>
  <c r="J46" i="33"/>
  <c r="AC46" i="33" s="1"/>
  <c r="F46" i="33"/>
  <c r="AA46" i="33" s="1"/>
  <c r="H46" i="33"/>
  <c r="H13" i="34"/>
  <c r="U13" i="34" s="1"/>
  <c r="J29" i="34"/>
  <c r="W29" i="34" s="1"/>
  <c r="F29" i="34"/>
  <c r="S29" i="34" s="1"/>
  <c r="H29" i="34"/>
  <c r="AB29" i="34" s="1"/>
  <c r="J31" i="34"/>
  <c r="H31" i="34"/>
  <c r="S31" i="34"/>
  <c r="H45" i="34"/>
  <c r="U45" i="34" s="1"/>
  <c r="J45" i="34"/>
  <c r="W45" i="34" s="1"/>
  <c r="F45" i="34"/>
  <c r="S45" i="34" s="1"/>
  <c r="J47" i="34"/>
  <c r="F13" i="35"/>
  <c r="J13" i="35"/>
  <c r="AC13" i="35"/>
  <c r="H13" i="35"/>
  <c r="U13" i="35" s="1"/>
  <c r="J25" i="35"/>
  <c r="W25" i="35" s="1"/>
  <c r="F25" i="35"/>
  <c r="S25" i="35" s="1"/>
  <c r="AB25" i="35"/>
  <c r="J35" i="35"/>
  <c r="AC35" i="35" s="1"/>
  <c r="F35" i="35"/>
  <c r="AA35" i="35" s="1"/>
  <c r="H35" i="35"/>
  <c r="H25" i="36"/>
  <c r="AB25" i="36" s="1"/>
  <c r="H13" i="37"/>
  <c r="AB13" i="37" s="1"/>
  <c r="F13" i="37"/>
  <c r="S13" i="37" s="1"/>
  <c r="J13" i="37"/>
  <c r="W13" i="37" s="1"/>
  <c r="F28" i="37"/>
  <c r="J28" i="37"/>
  <c r="AC28" i="37" s="1"/>
  <c r="H28" i="37"/>
  <c r="H38" i="37"/>
  <c r="J38" i="37"/>
  <c r="AC38" i="37" s="1"/>
  <c r="F38" i="37"/>
  <c r="S38" i="37"/>
  <c r="F43" i="39"/>
  <c r="AA43" i="39" s="1"/>
  <c r="H43" i="39"/>
  <c r="J14" i="39"/>
  <c r="AC14" i="39" s="1"/>
  <c r="F14" i="39"/>
  <c r="S14" i="39" s="1"/>
  <c r="H14" i="39"/>
  <c r="AB14" i="39"/>
  <c r="F12" i="40"/>
  <c r="S12" i="40"/>
  <c r="H12" i="40"/>
  <c r="AB12" i="40"/>
  <c r="H30" i="40"/>
  <c r="AB30" i="40"/>
  <c r="J35" i="40"/>
  <c r="AC35" i="40"/>
  <c r="J37" i="40"/>
  <c r="AC37" i="40"/>
  <c r="H13" i="40"/>
  <c r="U13" i="40"/>
  <c r="J13" i="40"/>
  <c r="W13" i="40"/>
  <c r="F13" i="40"/>
  <c r="AA13" i="40"/>
  <c r="F14" i="37"/>
  <c r="S14" i="37"/>
  <c r="F27" i="37"/>
  <c r="AA27" i="37"/>
  <c r="J13" i="39"/>
  <c r="W13" i="39" s="1"/>
  <c r="H14" i="40"/>
  <c r="J14" i="40"/>
  <c r="W14" i="40" s="1"/>
  <c r="F14" i="40"/>
  <c r="S14" i="40" s="1"/>
  <c r="J14" i="37"/>
  <c r="J27" i="37"/>
  <c r="AA44" i="33"/>
  <c r="J36" i="37"/>
  <c r="AC36" i="37" s="1"/>
  <c r="J10" i="36"/>
  <c r="AC10" i="36" s="1"/>
  <c r="AB26" i="33"/>
  <c r="AA14" i="37"/>
  <c r="AA14" i="34"/>
  <c r="AB45" i="33"/>
  <c r="S44" i="34"/>
  <c r="BA585" i="3"/>
  <c r="F17" i="21"/>
  <c r="AA17" i="21" s="1"/>
  <c r="H17" i="21"/>
  <c r="AB17" i="21" s="1"/>
  <c r="F15" i="21"/>
  <c r="S15" i="21" s="1"/>
  <c r="J41" i="39"/>
  <c r="W41" i="39" s="1"/>
  <c r="G544" i="3"/>
  <c r="G540" i="3"/>
  <c r="G532" i="3"/>
  <c r="G531" i="3"/>
  <c r="G523" i="3"/>
  <c r="G518" i="3"/>
  <c r="G514" i="3"/>
  <c r="G510" i="3"/>
  <c r="G504" i="3"/>
  <c r="G500" i="3"/>
  <c r="G496" i="3"/>
  <c r="G584" i="3"/>
  <c r="G576" i="3"/>
  <c r="G568" i="3"/>
  <c r="G560" i="3"/>
  <c r="BL580" i="3"/>
  <c r="BL572" i="3"/>
  <c r="BL564" i="3"/>
  <c r="BL554" i="3"/>
  <c r="BL534" i="3"/>
  <c r="BL498" i="3"/>
  <c r="BL582" i="3"/>
  <c r="BL574" i="3"/>
  <c r="BL566" i="3"/>
  <c r="BL556" i="3"/>
  <c r="G533" i="3"/>
  <c r="BL532" i="3"/>
  <c r="G525" i="3"/>
  <c r="BL514" i="3"/>
  <c r="BL496" i="3"/>
  <c r="BA584" i="3"/>
  <c r="BA580" i="3"/>
  <c r="AZ580" i="3" s="1"/>
  <c r="BA576" i="3"/>
  <c r="BA572" i="3"/>
  <c r="BA568" i="3"/>
  <c r="BA564" i="3"/>
  <c r="BA560" i="3"/>
  <c r="BA532" i="3"/>
  <c r="BA518" i="3"/>
  <c r="BA506" i="3"/>
  <c r="BA500" i="3"/>
  <c r="BA494" i="3"/>
  <c r="BA581" i="3"/>
  <c r="BA577" i="3"/>
  <c r="BA573" i="3"/>
  <c r="BA569" i="3"/>
  <c r="BA565" i="3"/>
  <c r="AZ565" i="3" s="1"/>
  <c r="BA561" i="3"/>
  <c r="BA555" i="3"/>
  <c r="BA537" i="3"/>
  <c r="BA519" i="3"/>
  <c r="BA501" i="3"/>
  <c r="BA493" i="3"/>
  <c r="G583" i="3"/>
  <c r="G579" i="3"/>
  <c r="G577" i="3"/>
  <c r="G575" i="3"/>
  <c r="G571" i="3"/>
  <c r="G569" i="3"/>
  <c r="G567" i="3"/>
  <c r="G563" i="3"/>
  <c r="G561" i="3"/>
  <c r="BL558" i="3"/>
  <c r="AC557" i="3"/>
  <c r="G557" i="3" s="1"/>
  <c r="BQ557" i="3"/>
  <c r="BQ583" i="3"/>
  <c r="BL583" i="3" s="1"/>
  <c r="BQ581" i="3"/>
  <c r="BL581" i="3" s="1"/>
  <c r="BQ579" i="3"/>
  <c r="BL579" i="3" s="1"/>
  <c r="BQ577" i="3"/>
  <c r="BQ575" i="3"/>
  <c r="BQ573" i="3"/>
  <c r="BL573" i="3" s="1"/>
  <c r="BQ571" i="3"/>
  <c r="BL571" i="3"/>
  <c r="BQ569" i="3"/>
  <c r="BQ567" i="3"/>
  <c r="BQ565" i="3"/>
  <c r="BL565" i="3" s="1"/>
  <c r="BQ563" i="3"/>
  <c r="BQ561" i="3"/>
  <c r="BQ559" i="3"/>
  <c r="BL559" i="3" s="1"/>
  <c r="G559" i="3"/>
  <c r="G553" i="3"/>
  <c r="G549" i="3"/>
  <c r="G547" i="3"/>
  <c r="G541" i="3"/>
  <c r="G539" i="3"/>
  <c r="BQ555" i="3"/>
  <c r="BQ553" i="3"/>
  <c r="BL553" i="3" s="1"/>
  <c r="BQ551" i="3"/>
  <c r="BQ549" i="3"/>
  <c r="BQ547" i="3"/>
  <c r="BQ545" i="3"/>
  <c r="BQ543" i="3"/>
  <c r="BL543" i="3" s="1"/>
  <c r="BQ541" i="3"/>
  <c r="BQ539" i="3"/>
  <c r="BQ537" i="3"/>
  <c r="BL537" i="3" s="1"/>
  <c r="BQ535" i="3"/>
  <c r="BQ533" i="3"/>
  <c r="BQ531" i="3"/>
  <c r="BQ529" i="3"/>
  <c r="BQ527" i="3"/>
  <c r="BQ525" i="3"/>
  <c r="BQ523" i="3"/>
  <c r="AC521" i="3"/>
  <c r="BQ521" i="3"/>
  <c r="G519" i="3"/>
  <c r="G517" i="3"/>
  <c r="G511" i="3"/>
  <c r="BQ519" i="3"/>
  <c r="BQ517" i="3"/>
  <c r="BQ515" i="3"/>
  <c r="BQ513" i="3"/>
  <c r="BQ511" i="3"/>
  <c r="AC509" i="3"/>
  <c r="BQ509" i="3"/>
  <c r="G505" i="3"/>
  <c r="G503" i="3"/>
  <c r="G497" i="3"/>
  <c r="G495"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H43" i="33"/>
  <c r="H17" i="37"/>
  <c r="U17" i="37" s="1"/>
  <c r="AB27" i="37"/>
  <c r="U32" i="33"/>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S24" i="35" s="1"/>
  <c r="AA24" i="35"/>
  <c r="H24" i="35"/>
  <c r="AB24" i="35"/>
  <c r="H23" i="37"/>
  <c r="U23" i="37" s="1"/>
  <c r="AB23" i="37"/>
  <c r="J32" i="37"/>
  <c r="AC32" i="37"/>
  <c r="F36" i="37"/>
  <c r="AA36" i="37"/>
  <c r="F37" i="37"/>
  <c r="AA37" i="37"/>
  <c r="F32" i="40"/>
  <c r="S32" i="40"/>
  <c r="H32" i="40"/>
  <c r="AB32" i="40"/>
  <c r="J36" i="40"/>
  <c r="AC36" i="40" s="1"/>
  <c r="W36" i="40"/>
  <c r="H19" i="37"/>
  <c r="AB19" i="37" s="1"/>
  <c r="F123" i="33"/>
  <c r="G123" i="33" s="1"/>
  <c r="H123" i="33" s="1"/>
  <c r="I123" i="33" s="1"/>
  <c r="J123" i="33" s="1"/>
  <c r="K123" i="33" s="1"/>
  <c r="L123" i="33" s="1"/>
  <c r="M123" i="33" s="1"/>
  <c r="H42" i="33"/>
  <c r="AB42" i="33" s="1"/>
  <c r="J43" i="33"/>
  <c r="S28" i="31"/>
  <c r="S27" i="31"/>
  <c r="S26" i="31"/>
  <c r="U26" i="37"/>
  <c r="AC36" i="34"/>
  <c r="AA13" i="33"/>
  <c r="AC31" i="33"/>
  <c r="U11" i="33"/>
  <c r="U19" i="21"/>
  <c r="AB38" i="21"/>
  <c r="F43" i="33"/>
  <c r="AA43" i="33"/>
  <c r="AC15" i="34"/>
  <c r="W16" i="35"/>
  <c r="H107" i="37"/>
  <c r="I107" i="37" s="1"/>
  <c r="J107" i="37" s="1"/>
  <c r="K107" i="37" s="1"/>
  <c r="L107" i="37" s="1"/>
  <c r="M107" i="37" s="1"/>
  <c r="H37" i="21"/>
  <c r="U37" i="21" s="1"/>
  <c r="S42" i="21"/>
  <c r="H19" i="34"/>
  <c r="AB19" i="34" s="1"/>
  <c r="J9" i="37"/>
  <c r="W9" i="37" s="1"/>
  <c r="H9" i="37"/>
  <c r="U9" i="37" s="1"/>
  <c r="F9" i="37"/>
  <c r="S9" i="37" s="1"/>
  <c r="J12" i="37"/>
  <c r="F12" i="37"/>
  <c r="S12" i="37" s="1"/>
  <c r="F15" i="37"/>
  <c r="E94" i="37"/>
  <c r="F94" i="37" s="1"/>
  <c r="G94" i="37" s="1"/>
  <c r="H94" i="37" s="1"/>
  <c r="I94" i="37" s="1"/>
  <c r="J94" i="37" s="1"/>
  <c r="K94" i="37" s="1"/>
  <c r="L94" i="37" s="1"/>
  <c r="M94" i="37" s="1"/>
  <c r="F31" i="37"/>
  <c r="S31" i="37" s="1"/>
  <c r="F12" i="39"/>
  <c r="S12" i="39" s="1"/>
  <c r="J42" i="39"/>
  <c r="AC42" i="39" s="1"/>
  <c r="H21" i="40"/>
  <c r="H31" i="37"/>
  <c r="J15" i="37"/>
  <c r="W15" i="37" s="1"/>
  <c r="AT6" i="3"/>
  <c r="H19" i="40"/>
  <c r="U19" i="40" s="1"/>
  <c r="F88" i="40"/>
  <c r="G88" i="40" s="1"/>
  <c r="F19" i="40"/>
  <c r="S19" i="40" s="1"/>
  <c r="AC13" i="40"/>
  <c r="AC43" i="39"/>
  <c r="W43" i="39"/>
  <c r="AB44" i="39"/>
  <c r="H37" i="39"/>
  <c r="AB37" i="39" s="1"/>
  <c r="AC37" i="39"/>
  <c r="W37" i="39"/>
  <c r="F15" i="39"/>
  <c r="AA15" i="39" s="1"/>
  <c r="H15" i="39"/>
  <c r="U15" i="39" s="1"/>
  <c r="J15" i="39"/>
  <c r="W15" i="39" s="1"/>
  <c r="H41" i="39"/>
  <c r="AB41" i="39" s="1"/>
  <c r="AB34" i="39"/>
  <c r="W9" i="39"/>
  <c r="J19" i="40"/>
  <c r="AC19" i="40" s="1"/>
  <c r="J50" i="40"/>
  <c r="H103" i="9"/>
  <c r="D8" i="53" s="1"/>
  <c r="C7" i="37"/>
  <c r="C52" i="37" s="1"/>
  <c r="D52" i="37" s="1"/>
  <c r="W35" i="40"/>
  <c r="A118" i="9"/>
  <c r="A4" i="52"/>
  <c r="B41" i="72" s="1"/>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20" i="3"/>
  <c r="G530" i="3"/>
  <c r="G522" i="3"/>
  <c r="G516" i="3"/>
  <c r="G506"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BL374" i="3"/>
  <c r="G375" i="3"/>
  <c r="BA377" i="3"/>
  <c r="AZ269" i="3"/>
  <c r="BA379" i="3"/>
  <c r="AZ379" i="3" s="1"/>
  <c r="BL380" i="3"/>
  <c r="G381" i="3"/>
  <c r="BA383" i="3"/>
  <c r="AZ383" i="3" s="1"/>
  <c r="BL384" i="3"/>
  <c r="G385" i="3"/>
  <c r="BA387" i="3"/>
  <c r="AZ387" i="3" s="1"/>
  <c r="BL388" i="3"/>
  <c r="G389" i="3"/>
  <c r="BA391" i="3"/>
  <c r="BL392" i="3"/>
  <c r="G393" i="3"/>
  <c r="BM5" i="3"/>
  <c r="AC5" i="3"/>
  <c r="G548" i="3"/>
  <c r="G538" i="3"/>
  <c r="G520" i="3"/>
  <c r="G502" i="3"/>
  <c r="BP5" i="3"/>
  <c r="BG5" i="3"/>
  <c r="BE5" i="3"/>
  <c r="BC5" i="3"/>
  <c r="G17" i="3"/>
  <c r="BA15" i="3"/>
  <c r="G509" i="3"/>
  <c r="BL493" i="3"/>
  <c r="U36" i="40"/>
  <c r="F83" i="43"/>
  <c r="H85" i="43" s="1"/>
  <c r="F50" i="43"/>
  <c r="H54" i="43" s="1"/>
  <c r="F72" i="43"/>
  <c r="H75" i="43" s="1"/>
  <c r="S14" i="35"/>
  <c r="U43" i="21"/>
  <c r="AC35" i="21"/>
  <c r="W37" i="37"/>
  <c r="AC44" i="34"/>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H27" i="40"/>
  <c r="U27" i="40" s="1"/>
  <c r="J27" i="40"/>
  <c r="F27" i="40"/>
  <c r="S27" i="40" s="1"/>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F39" i="39"/>
  <c r="S39" i="39" s="1"/>
  <c r="J39" i="39"/>
  <c r="AC39" i="39" s="1"/>
  <c r="E96" i="39"/>
  <c r="F96" i="39" s="1"/>
  <c r="G96" i="39" s="1"/>
  <c r="C40" i="11"/>
  <c r="F23" i="39"/>
  <c r="S23" i="39" s="1"/>
  <c r="H27" i="36"/>
  <c r="U27" i="36" s="1"/>
  <c r="F27" i="36"/>
  <c r="AA27" i="36" s="1"/>
  <c r="H33" i="34"/>
  <c r="AB33" i="34" s="1"/>
  <c r="U33" i="34"/>
  <c r="F32" i="37"/>
  <c r="AA32" i="37" s="1"/>
  <c r="G96" i="37"/>
  <c r="H96" i="37"/>
  <c r="I96" i="37" s="1"/>
  <c r="J96" i="37" s="1"/>
  <c r="K96" i="37" s="1"/>
  <c r="L96" i="37" s="1"/>
  <c r="M96" i="37" s="1"/>
  <c r="F20" i="36"/>
  <c r="AA20" i="36" s="1"/>
  <c r="J33" i="34"/>
  <c r="H23" i="39"/>
  <c r="U23" i="39" s="1"/>
  <c r="D48" i="9"/>
  <c r="M52" i="9" s="1"/>
  <c r="K9" i="1"/>
  <c r="M9" i="1" s="1"/>
  <c r="D93" i="9"/>
  <c r="W26" i="33"/>
  <c r="W27" i="34"/>
  <c r="AC27" i="34"/>
  <c r="U34" i="36"/>
  <c r="AB33" i="36"/>
  <c r="U33" i="36"/>
  <c r="AC12" i="39"/>
  <c r="W12" i="39"/>
  <c r="AC39" i="40"/>
  <c r="W39" i="40"/>
  <c r="AZ433" i="3"/>
  <c r="W12" i="33"/>
  <c r="AC12" i="33"/>
  <c r="AA32" i="36"/>
  <c r="S32" i="36"/>
  <c r="BL14" i="3"/>
  <c r="U30" i="33"/>
  <c r="W28" i="37"/>
  <c r="S19" i="39"/>
  <c r="F12" i="33"/>
  <c r="H12" i="39"/>
  <c r="AB12" i="39" s="1"/>
  <c r="F39" i="40"/>
  <c r="AA39" i="40" s="1"/>
  <c r="BA14" i="3"/>
  <c r="B12" i="1"/>
  <c r="E12" i="1" s="1"/>
  <c r="B10" i="1"/>
  <c r="E10" i="1" s="1"/>
  <c r="K12" i="1"/>
  <c r="M12" i="1" s="1"/>
  <c r="S13" i="1"/>
  <c r="AR13" i="1" s="1"/>
  <c r="R13" i="1"/>
  <c r="J51" i="67"/>
  <c r="AC34" i="33"/>
  <c r="AA34" i="33"/>
  <c r="B41" i="1"/>
  <c r="F48" i="9" s="1"/>
  <c r="O52" i="9" s="1"/>
  <c r="AB37" i="40"/>
  <c r="S35" i="40"/>
  <c r="AA32" i="40"/>
  <c r="S17" i="40"/>
  <c r="AC17" i="40"/>
  <c r="AC15" i="40"/>
  <c r="AB27" i="40"/>
  <c r="S28" i="40"/>
  <c r="AA27" i="40"/>
  <c r="AB19" i="40"/>
  <c r="S43" i="39"/>
  <c r="F32" i="39"/>
  <c r="AA32" i="39" s="1"/>
  <c r="F106" i="39"/>
  <c r="G106" i="39" s="1"/>
  <c r="H106" i="39" s="1"/>
  <c r="I106" i="39" s="1"/>
  <c r="J106" i="39" s="1"/>
  <c r="K106" i="39" s="1"/>
  <c r="L106" i="39" s="1"/>
  <c r="M106" i="39" s="1"/>
  <c r="U31" i="39"/>
  <c r="J21" i="39"/>
  <c r="W21" i="39" s="1"/>
  <c r="H21" i="39"/>
  <c r="U21" i="39" s="1"/>
  <c r="W19" i="39"/>
  <c r="U19" i="39"/>
  <c r="AA12" i="39"/>
  <c r="U14" i="39"/>
  <c r="U12" i="39"/>
  <c r="U26" i="36"/>
  <c r="S33" i="36"/>
  <c r="AA34" i="36"/>
  <c r="AC26" i="36"/>
  <c r="AA22" i="36"/>
  <c r="AB14" i="36"/>
  <c r="U22" i="36"/>
  <c r="S16" i="36"/>
  <c r="S24" i="36"/>
  <c r="AB20" i="36"/>
  <c r="U16" i="36"/>
  <c r="S14" i="36"/>
  <c r="AA25" i="35"/>
  <c r="W24" i="35"/>
  <c r="AB13" i="35"/>
  <c r="U29" i="35"/>
  <c r="AB27" i="35"/>
  <c r="U32" i="35"/>
  <c r="AC30" i="35"/>
  <c r="S32" i="35"/>
  <c r="S28" i="35"/>
  <c r="AB16" i="35"/>
  <c r="U22" i="35"/>
  <c r="S20" i="35"/>
  <c r="S22" i="35"/>
  <c r="U14" i="35"/>
  <c r="AA11" i="35"/>
  <c r="AC9" i="35"/>
  <c r="W9" i="35"/>
  <c r="W13" i="35"/>
  <c r="F9" i="35"/>
  <c r="S9" i="35" s="1"/>
  <c r="H9" i="35"/>
  <c r="U9" i="35" s="1"/>
  <c r="AB40" i="37"/>
  <c r="AC29" i="37"/>
  <c r="U29" i="37"/>
  <c r="W30" i="37"/>
  <c r="S36" i="37"/>
  <c r="AA38" i="37"/>
  <c r="W38" i="37"/>
  <c r="AC35" i="37"/>
  <c r="W39" i="37"/>
  <c r="S37" i="37"/>
  <c r="AC15" i="37"/>
  <c r="J17" i="37"/>
  <c r="W17" i="37" s="1"/>
  <c r="G73" i="37"/>
  <c r="F17" i="37"/>
  <c r="AB17" i="37"/>
  <c r="F19" i="37"/>
  <c r="S19" i="37" s="1"/>
  <c r="F79" i="37"/>
  <c r="F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U15" i="34"/>
  <c r="H10" i="34"/>
  <c r="AB10" i="34" s="1"/>
  <c r="F11" i="34"/>
  <c r="S11" i="34" s="1"/>
  <c r="F70" i="34"/>
  <c r="W42" i="33"/>
  <c r="S27" i="33"/>
  <c r="S32" i="33"/>
  <c r="AA29" i="33"/>
  <c r="AB29"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AB27" i="33" s="1"/>
  <c r="H25" i="33"/>
  <c r="U25" i="33" s="1"/>
  <c r="F25" i="33"/>
  <c r="S25" i="33" s="1"/>
  <c r="J23" i="33"/>
  <c r="AC23" i="33" s="1"/>
  <c r="F85" i="33"/>
  <c r="H23" i="33"/>
  <c r="AB23" i="33" s="1"/>
  <c r="F81" i="33"/>
  <c r="G81" i="33" s="1"/>
  <c r="F19" i="33"/>
  <c r="S19" i="33" s="1"/>
  <c r="W19" i="33"/>
  <c r="J17" i="33"/>
  <c r="AC17" i="33" s="1"/>
  <c r="F79" i="33"/>
  <c r="G79" i="33" s="1"/>
  <c r="S15" i="33"/>
  <c r="J10" i="33"/>
  <c r="W10" i="33" s="1"/>
  <c r="H10" i="33"/>
  <c r="U10" i="33" s="1"/>
  <c r="AB14" i="33"/>
  <c r="W43" i="21"/>
  <c r="W36" i="21"/>
  <c r="AB39" i="21"/>
  <c r="AA43" i="21"/>
  <c r="S39" i="21"/>
  <c r="AA36" i="21"/>
  <c r="AC40" i="21"/>
  <c r="J15" i="21"/>
  <c r="W15" i="21" s="1"/>
  <c r="F77" i="21"/>
  <c r="G77" i="21"/>
  <c r="F23" i="21"/>
  <c r="S23" i="21" s="1"/>
  <c r="E85" i="21"/>
  <c r="F85" i="21" s="1"/>
  <c r="G85" i="21" s="1"/>
  <c r="AA14" i="21"/>
  <c r="D120" i="9"/>
  <c r="F34" i="67"/>
  <c r="F62" i="67" s="1"/>
  <c r="M20" i="67"/>
  <c r="F34" i="15"/>
  <c r="F62" i="15" s="1"/>
  <c r="BL13" i="3"/>
  <c r="J56" i="9"/>
  <c r="J57" i="9" s="1"/>
  <c r="J59" i="9" s="1"/>
  <c r="J61" i="9" s="1"/>
  <c r="A24" i="51"/>
  <c r="B18" i="72" s="1"/>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AB13" i="40"/>
  <c r="U15" i="40"/>
  <c r="AB17" i="40"/>
  <c r="U8" i="40"/>
  <c r="S8" i="40"/>
  <c r="U42" i="39"/>
  <c r="AA14" i="39"/>
  <c r="U43" i="39"/>
  <c r="AB43" i="39"/>
  <c r="W31" i="39"/>
  <c r="W34" i="39"/>
  <c r="S8" i="39"/>
  <c r="W29" i="36"/>
  <c r="AC20" i="36"/>
  <c r="U25" i="36"/>
  <c r="AB28" i="36"/>
  <c r="AA13" i="36"/>
  <c r="W22" i="36"/>
  <c r="AB20" i="35"/>
  <c r="AC25" i="35"/>
  <c r="U25" i="35"/>
  <c r="U24" i="35"/>
  <c r="S35" i="35"/>
  <c r="W35" i="35"/>
  <c r="AA16" i="35"/>
  <c r="AA35" i="37"/>
  <c r="W36" i="37"/>
  <c r="S27" i="37"/>
  <c r="W32" i="37"/>
  <c r="U36" i="37"/>
  <c r="S40" i="37"/>
  <c r="AB37" i="37"/>
  <c r="AC34" i="37"/>
  <c r="AB35" i="37"/>
  <c r="AA31" i="37"/>
  <c r="U19" i="37"/>
  <c r="AA29" i="37"/>
  <c r="U8" i="37"/>
  <c r="AB40" i="34"/>
  <c r="U19" i="34"/>
  <c r="W19" i="34"/>
  <c r="AA31" i="34"/>
  <c r="AA30" i="34"/>
  <c r="AB45" i="34"/>
  <c r="U25" i="34"/>
  <c r="AB36" i="34"/>
  <c r="AC14" i="34"/>
  <c r="AC32" i="34"/>
  <c r="AC29" i="34"/>
  <c r="W46" i="34"/>
  <c r="AC46" i="34"/>
  <c r="S32" i="34"/>
  <c r="AA32" i="34"/>
  <c r="U30" i="34"/>
  <c r="AB30" i="34"/>
  <c r="S37" i="34"/>
  <c r="AC40" i="34"/>
  <c r="W40" i="34"/>
  <c r="AA19" i="34"/>
  <c r="AA36" i="34"/>
  <c r="S36" i="34"/>
  <c r="AA8" i="34"/>
  <c r="AB9" i="34"/>
  <c r="U9" i="34"/>
  <c r="S46" i="34"/>
  <c r="AA46" i="34"/>
  <c r="U32" i="34"/>
  <c r="U14" i="34"/>
  <c r="AC43" i="34"/>
  <c r="W43" i="34"/>
  <c r="W23" i="34"/>
  <c r="AC23" i="34"/>
  <c r="AC35" i="34"/>
  <c r="W35" i="34"/>
  <c r="U12" i="34"/>
  <c r="AB28" i="33"/>
  <c r="AC37" i="33"/>
  <c r="W46" i="33"/>
  <c r="U38" i="33"/>
  <c r="S33" i="33"/>
  <c r="AB34" i="33"/>
  <c r="AB44" i="33"/>
  <c r="S30" i="33"/>
  <c r="AA30" i="33"/>
  <c r="W14" i="33"/>
  <c r="AC30" i="33"/>
  <c r="W30" i="33"/>
  <c r="AA31" i="33"/>
  <c r="W13" i="33"/>
  <c r="AC13" i="33"/>
  <c r="S11" i="33"/>
  <c r="U37" i="33"/>
  <c r="AC28" i="33"/>
  <c r="W9" i="33"/>
  <c r="W8" i="33"/>
  <c r="S44" i="21"/>
  <c r="U28" i="21"/>
  <c r="S45" i="21"/>
  <c r="I101" i="21"/>
  <c r="J101" i="21" s="1"/>
  <c r="K101" i="21" s="1"/>
  <c r="L101" i="21" s="1"/>
  <c r="M101" i="21" s="1"/>
  <c r="F33" i="21"/>
  <c r="AA33" i="21" s="1"/>
  <c r="J33" i="21"/>
  <c r="AC33" i="21" s="1"/>
  <c r="H33" i="21"/>
  <c r="AB33" i="21" s="1"/>
  <c r="F37" i="21"/>
  <c r="AA37" i="21" s="1"/>
  <c r="AB14" i="21"/>
  <c r="AB46" i="21"/>
  <c r="U40" i="21"/>
  <c r="U13"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9" i="21"/>
  <c r="AA9" i="21"/>
  <c r="K141" i="21"/>
  <c r="K144" i="21"/>
  <c r="K143" i="21"/>
  <c r="U27" i="21"/>
  <c r="AB25" i="21"/>
  <c r="AB44" i="21"/>
  <c r="W13" i="21"/>
  <c r="W42" i="21"/>
  <c r="F10" i="21"/>
  <c r="AA10" i="21" s="1"/>
  <c r="K145" i="21"/>
  <c r="S27" i="21"/>
  <c r="S17" i="21"/>
  <c r="AC27" i="21"/>
  <c r="AC26" i="21"/>
  <c r="AB29" i="21"/>
  <c r="AC34" i="21"/>
  <c r="AB36" i="21"/>
  <c r="C15" i="40"/>
  <c r="C23" i="40"/>
  <c r="C21" i="40"/>
  <c r="U30" i="40"/>
  <c r="B56" i="43"/>
  <c r="B67" i="43"/>
  <c r="B51" i="43"/>
  <c r="B58" i="43"/>
  <c r="B62" i="43"/>
  <c r="B69" i="43"/>
  <c r="E4" i="4"/>
  <c r="B5" i="62" s="1"/>
  <c r="B73" i="72" s="1"/>
  <c r="C4" i="4"/>
  <c r="S39" i="40"/>
  <c r="S12" i="33"/>
  <c r="AA12" i="33"/>
  <c r="J32" i="39"/>
  <c r="W32" i="39" s="1"/>
  <c r="H32" i="39"/>
  <c r="AB32" i="39" s="1"/>
  <c r="AC17" i="37"/>
  <c r="J19" i="37"/>
  <c r="W19" i="37" s="1"/>
  <c r="G75" i="37"/>
  <c r="J23" i="37"/>
  <c r="AC23" i="37" s="1"/>
  <c r="G79" i="37"/>
  <c r="J10" i="37"/>
  <c r="W10"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W32" i="33"/>
  <c r="U27" i="33"/>
  <c r="J27" i="33"/>
  <c r="AC27" i="33" s="1"/>
  <c r="G87" i="33"/>
  <c r="H87" i="33" s="1"/>
  <c r="I87" i="33" s="1"/>
  <c r="J87" i="33" s="1"/>
  <c r="K87" i="33" s="1"/>
  <c r="L87" i="33" s="1"/>
  <c r="M87" i="33" s="1"/>
  <c r="J25" i="33"/>
  <c r="AC25" i="33" s="1"/>
  <c r="F23" i="33"/>
  <c r="G85" i="33"/>
  <c r="H19" i="33"/>
  <c r="U19" i="33" s="1"/>
  <c r="H17" i="33"/>
  <c r="U17" i="33" s="1"/>
  <c r="F17" i="33"/>
  <c r="S17" i="33" s="1"/>
  <c r="S37" i="21"/>
  <c r="AA23" i="21"/>
  <c r="AB15" i="21"/>
  <c r="J23" i="21"/>
  <c r="W23" i="21" s="1"/>
  <c r="H23" i="21"/>
  <c r="AB23" i="21" s="1"/>
  <c r="S13" i="21"/>
  <c r="AP7" i="1"/>
  <c r="AB45" i="21"/>
  <c r="AB9" i="21"/>
  <c r="AA32" i="21"/>
  <c r="S32" i="21"/>
  <c r="AB32" i="21"/>
  <c r="U32" i="21"/>
  <c r="U32" i="39"/>
  <c r="J11" i="37"/>
  <c r="AC11" i="37" s="1"/>
  <c r="J11" i="34"/>
  <c r="W11" i="34" s="1"/>
  <c r="AB36" i="33"/>
  <c r="AC23" i="2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F36" i="67"/>
  <c r="E11" i="76"/>
  <c r="C76" i="67"/>
  <c r="B9" i="76"/>
  <c r="F37" i="67"/>
  <c r="E8" i="76"/>
  <c r="F7" i="67"/>
  <c r="M8" i="67"/>
  <c r="AO13" i="1"/>
  <c r="F16" i="67"/>
  <c r="M26" i="67"/>
  <c r="F8" i="67"/>
  <c r="J15" i="67"/>
  <c r="F40" i="67"/>
  <c r="F9" i="67"/>
  <c r="E2" i="68"/>
  <c r="F6" i="73"/>
  <c r="F20" i="31"/>
  <c r="M22" i="67"/>
  <c r="F43" i="67"/>
  <c r="B7" i="76"/>
  <c r="F13" i="67"/>
  <c r="M23" i="67"/>
  <c r="E10" i="76"/>
  <c r="B10" i="76"/>
  <c r="F4" i="73"/>
  <c r="F6" i="67"/>
  <c r="M29" i="67"/>
  <c r="M9" i="67"/>
  <c r="F5" i="73"/>
  <c r="F3" i="73"/>
  <c r="E12" i="76"/>
  <c r="F13" i="15"/>
  <c r="F40" i="15"/>
  <c r="B12" i="76"/>
  <c r="B13" i="76"/>
  <c r="F7" i="73"/>
  <c r="B11" i="76"/>
  <c r="E9" i="76"/>
  <c r="E13" i="76"/>
  <c r="M22" i="15"/>
  <c r="L48" i="67"/>
  <c r="F38" i="15"/>
  <c r="F36" i="15"/>
  <c r="B8" i="76"/>
  <c r="M28" i="67"/>
  <c r="E7" i="76"/>
  <c r="M24" i="15"/>
  <c r="AZ373" i="3" l="1"/>
  <c r="AZ362" i="3"/>
  <c r="AZ346" i="3"/>
  <c r="AZ313" i="3"/>
  <c r="AZ501" i="3"/>
  <c r="AA14" i="33"/>
  <c r="AA14" i="40"/>
  <c r="AC14" i="36"/>
  <c r="J23" i="35"/>
  <c r="H23" i="35"/>
  <c r="S34" i="39"/>
  <c r="AA34" i="39"/>
  <c r="BL549" i="3"/>
  <c r="BA549" i="3"/>
  <c r="BA546" i="3"/>
  <c r="BA545" i="3"/>
  <c r="AZ545" i="3" s="1"/>
  <c r="BL544" i="3"/>
  <c r="BL542" i="3"/>
  <c r="BL541" i="3"/>
  <c r="BA541" i="3"/>
  <c r="AZ541" i="3" s="1"/>
  <c r="BA538" i="3"/>
  <c r="BL536" i="3"/>
  <c r="BA536" i="3"/>
  <c r="BA534" i="3"/>
  <c r="AZ534" i="3" s="1"/>
  <c r="BL533" i="3"/>
  <c r="BA533" i="3"/>
  <c r="BK5" i="3"/>
  <c r="BA530" i="3"/>
  <c r="BL529" i="3"/>
  <c r="BA529" i="3"/>
  <c r="BL528" i="3"/>
  <c r="BL526" i="3"/>
  <c r="AZ526" i="3" s="1"/>
  <c r="BA526" i="3"/>
  <c r="BL525" i="3"/>
  <c r="BA525" i="3"/>
  <c r="BL524" i="3"/>
  <c r="BA522" i="3"/>
  <c r="BL521" i="3"/>
  <c r="BA521" i="3"/>
  <c r="G521" i="3"/>
  <c r="BL517" i="3"/>
  <c r="BL516" i="3"/>
  <c r="BA515" i="3"/>
  <c r="BA514" i="3"/>
  <c r="AZ514" i="3" s="1"/>
  <c r="BA511" i="3"/>
  <c r="BL509" i="3"/>
  <c r="BL506" i="3"/>
  <c r="AZ506" i="3" s="1"/>
  <c r="BA505" i="3"/>
  <c r="AZ505" i="3" s="1"/>
  <c r="BL504" i="3"/>
  <c r="BA497" i="3"/>
  <c r="AZ497" i="3" s="1"/>
  <c r="U23" i="21"/>
  <c r="AB25" i="33"/>
  <c r="AA19" i="37"/>
  <c r="AZ391" i="3"/>
  <c r="AZ377" i="3"/>
  <c r="AZ361" i="3"/>
  <c r="AZ338" i="3"/>
  <c r="AZ327" i="3"/>
  <c r="AZ318" i="3"/>
  <c r="AZ364" i="3"/>
  <c r="AZ394" i="3"/>
  <c r="AZ308" i="3"/>
  <c r="BA587" i="3"/>
  <c r="H23" i="36"/>
  <c r="F23" i="36"/>
  <c r="J23" i="36"/>
  <c r="H45" i="39"/>
  <c r="F45" i="39"/>
  <c r="AA40" i="33"/>
  <c r="S40" i="33"/>
  <c r="AA31" i="35"/>
  <c r="S31" i="35"/>
  <c r="G566" i="3"/>
  <c r="AB19" i="33"/>
  <c r="S32" i="37"/>
  <c r="W27" i="33"/>
  <c r="U23" i="33"/>
  <c r="W30" i="40"/>
  <c r="S20" i="36"/>
  <c r="AA35" i="33"/>
  <c r="S15" i="39"/>
  <c r="AA19" i="40"/>
  <c r="AZ331" i="3"/>
  <c r="AZ356" i="3"/>
  <c r="AZ305" i="3"/>
  <c r="AZ360" i="3"/>
  <c r="AA25" i="21"/>
  <c r="W40" i="37"/>
  <c r="AC45" i="33"/>
  <c r="AZ532" i="3"/>
  <c r="AZ564" i="3"/>
  <c r="S11" i="36"/>
  <c r="AC15" i="33"/>
  <c r="AA41" i="33"/>
  <c r="U23" i="34"/>
  <c r="W20" i="35"/>
  <c r="W33" i="33"/>
  <c r="W9" i="34"/>
  <c r="W28" i="35"/>
  <c r="U31" i="36"/>
  <c r="AB34" i="34"/>
  <c r="U34" i="34"/>
  <c r="AZ320" i="3"/>
  <c r="AA23" i="40"/>
  <c r="H38" i="40"/>
  <c r="F38" i="40"/>
  <c r="J38" i="40"/>
  <c r="A15" i="62"/>
  <c r="B61" i="72" s="1"/>
  <c r="AZ407" i="3"/>
  <c r="BA414" i="3"/>
  <c r="AZ419" i="3"/>
  <c r="BA420" i="3"/>
  <c r="BA425" i="3"/>
  <c r="BA426" i="3"/>
  <c r="BL316" i="3"/>
  <c r="BL340" i="3"/>
  <c r="AZ340" i="3" s="1"/>
  <c r="BL346" i="3"/>
  <c r="BA212" i="3"/>
  <c r="BA223" i="3"/>
  <c r="BL227" i="3"/>
  <c r="BA228" i="3"/>
  <c r="BL232" i="3"/>
  <c r="BL261" i="3"/>
  <c r="BA270" i="3"/>
  <c r="AZ270" i="3" s="1"/>
  <c r="BA274" i="3"/>
  <c r="AZ274" i="3" s="1"/>
  <c r="BL274" i="3"/>
  <c r="C51" i="71"/>
  <c r="D50" i="71"/>
  <c r="D59" i="71"/>
  <c r="C60" i="71"/>
  <c r="G587" i="3"/>
  <c r="G558" i="3"/>
  <c r="F6" i="1"/>
  <c r="BA398" i="3"/>
  <c r="BA399" i="3"/>
  <c r="AZ399" i="3" s="1"/>
  <c r="BA402" i="3"/>
  <c r="AZ402" i="3" s="1"/>
  <c r="BA406" i="3"/>
  <c r="AZ406" i="3" s="1"/>
  <c r="BL409" i="3"/>
  <c r="G411" i="3"/>
  <c r="BA413" i="3"/>
  <c r="G417" i="3"/>
  <c r="G422" i="3"/>
  <c r="G423" i="3"/>
  <c r="BA424" i="3"/>
  <c r="G428" i="3"/>
  <c r="BA431" i="3"/>
  <c r="G436" i="3"/>
  <c r="G441" i="3"/>
  <c r="BL441" i="3"/>
  <c r="BL442" i="3"/>
  <c r="BL444" i="3"/>
  <c r="G446" i="3"/>
  <c r="G447" i="3"/>
  <c r="BL451" i="3"/>
  <c r="G453" i="3"/>
  <c r="BA456" i="3"/>
  <c r="G459" i="3"/>
  <c r="BA459" i="3"/>
  <c r="G463" i="3"/>
  <c r="BL466" i="3"/>
  <c r="G468" i="3"/>
  <c r="G469" i="3"/>
  <c r="BA473" i="3"/>
  <c r="BA476" i="3"/>
  <c r="AZ476" i="3" s="1"/>
  <c r="BL480" i="3"/>
  <c r="G482" i="3"/>
  <c r="BA483" i="3"/>
  <c r="BL483" i="3"/>
  <c r="AZ483" i="3" s="1"/>
  <c r="BL487" i="3"/>
  <c r="BL308" i="3"/>
  <c r="BA315" i="3"/>
  <c r="AZ315" i="3" s="1"/>
  <c r="BA333" i="3"/>
  <c r="G382" i="3"/>
  <c r="G209" i="3"/>
  <c r="G214" i="3"/>
  <c r="BL219" i="3"/>
  <c r="BL224" i="3"/>
  <c r="BL230" i="3"/>
  <c r="BA231" i="3"/>
  <c r="BL233" i="3"/>
  <c r="G235" i="3"/>
  <c r="G246" i="3"/>
  <c r="BA247" i="3"/>
  <c r="BL247" i="3"/>
  <c r="BL250" i="3"/>
  <c r="G252" i="3"/>
  <c r="G258" i="3"/>
  <c r="BA260" i="3"/>
  <c r="BL262" i="3"/>
  <c r="G586" i="3"/>
  <c r="J9" i="36"/>
  <c r="G570" i="3"/>
  <c r="G555" i="3"/>
  <c r="BA554" i="3"/>
  <c r="AZ554" i="3" s="1"/>
  <c r="G554" i="3"/>
  <c r="BA553" i="3"/>
  <c r="AZ553" i="3" s="1"/>
  <c r="BL552" i="3"/>
  <c r="BA552" i="3"/>
  <c r="BN5" i="3"/>
  <c r="G29" i="6" s="1"/>
  <c r="BO5" i="3"/>
  <c r="F29" i="6" s="1"/>
  <c r="E29" i="6" s="1"/>
  <c r="K15" i="1" s="1"/>
  <c r="BL17" i="3"/>
  <c r="BT5" i="3"/>
  <c r="BL401" i="3"/>
  <c r="BL404" i="3"/>
  <c r="BL405" i="3"/>
  <c r="BL407" i="3"/>
  <c r="BL440" i="3"/>
  <c r="BL448" i="3"/>
  <c r="AZ448" i="3" s="1"/>
  <c r="BL455" i="3"/>
  <c r="BA487" i="3"/>
  <c r="AZ487" i="3" s="1"/>
  <c r="BL489" i="3"/>
  <c r="BA385" i="3"/>
  <c r="AZ385" i="3" s="1"/>
  <c r="BA214" i="3"/>
  <c r="BA226" i="3"/>
  <c r="BL242" i="3"/>
  <c r="BL248" i="3"/>
  <c r="BA255" i="3"/>
  <c r="BL175" i="3"/>
  <c r="AZ175" i="3" s="1"/>
  <c r="G581" i="3"/>
  <c r="G580" i="3"/>
  <c r="BA579" i="3"/>
  <c r="BL578" i="3"/>
  <c r="BA578" i="3"/>
  <c r="BL576" i="3"/>
  <c r="AZ576" i="3" s="1"/>
  <c r="BA575" i="3"/>
  <c r="BA574" i="3"/>
  <c r="G573" i="3"/>
  <c r="G572" i="3"/>
  <c r="BA571" i="3"/>
  <c r="BL570" i="3"/>
  <c r="BA570" i="3"/>
  <c r="BL568" i="3"/>
  <c r="AZ568" i="3" s="1"/>
  <c r="BA567" i="3"/>
  <c r="BA566" i="3"/>
  <c r="G565" i="3"/>
  <c r="G564" i="3"/>
  <c r="BA563" i="3"/>
  <c r="BL562" i="3"/>
  <c r="BA562" i="3"/>
  <c r="BL560" i="3"/>
  <c r="AZ560" i="3" s="1"/>
  <c r="BA559" i="3"/>
  <c r="BA558" i="3"/>
  <c r="AZ558" i="3" s="1"/>
  <c r="BA557" i="3"/>
  <c r="BA556" i="3"/>
  <c r="AZ556" i="3" s="1"/>
  <c r="BJ5" i="3"/>
  <c r="BD5" i="3"/>
  <c r="G398" i="3"/>
  <c r="G399" i="3"/>
  <c r="BA400" i="3"/>
  <c r="G403" i="3"/>
  <c r="G407" i="3"/>
  <c r="BA412" i="3"/>
  <c r="AZ412" i="3" s="1"/>
  <c r="BA418" i="3"/>
  <c r="G420" i="3"/>
  <c r="G421" i="3"/>
  <c r="BA421" i="3"/>
  <c r="BA423" i="3"/>
  <c r="AZ423" i="3" s="1"/>
  <c r="BA437" i="3"/>
  <c r="BL437" i="3"/>
  <c r="G439" i="3"/>
  <c r="G440" i="3"/>
  <c r="BL443" i="3"/>
  <c r="BA444" i="3"/>
  <c r="AZ444" i="3" s="1"/>
  <c r="G448" i="3"/>
  <c r="BA454" i="3"/>
  <c r="BA458" i="3"/>
  <c r="AZ458" i="3" s="1"/>
  <c r="BA462" i="3"/>
  <c r="AZ462" i="3" s="1"/>
  <c r="BL465" i="3"/>
  <c r="BA466" i="3"/>
  <c r="BA470" i="3"/>
  <c r="BL476" i="3"/>
  <c r="BL477" i="3"/>
  <c r="BL478" i="3"/>
  <c r="G479" i="3"/>
  <c r="BA480" i="3"/>
  <c r="AZ480" i="3" s="1"/>
  <c r="G484" i="3"/>
  <c r="G485" i="3"/>
  <c r="BA486" i="3"/>
  <c r="G489" i="3"/>
  <c r="BA319" i="3"/>
  <c r="AZ319" i="3" s="1"/>
  <c r="BA331" i="3"/>
  <c r="BL350" i="3"/>
  <c r="G358" i="3"/>
  <c r="G380" i="3"/>
  <c r="G384" i="3"/>
  <c r="BA384" i="3"/>
  <c r="AZ384" i="3" s="1"/>
  <c r="BL386" i="3"/>
  <c r="BA392" i="3"/>
  <c r="AZ392" i="3" s="1"/>
  <c r="G396" i="3"/>
  <c r="G212" i="3"/>
  <c r="G213" i="3"/>
  <c r="BL213" i="3"/>
  <c r="G218" i="3"/>
  <c r="BA220" i="3"/>
  <c r="BL222" i="3"/>
  <c r="G228" i="3"/>
  <c r="G229" i="3"/>
  <c r="BA229" i="3"/>
  <c r="AZ229" i="3" s="1"/>
  <c r="BL229" i="3"/>
  <c r="BA240" i="3"/>
  <c r="BL254" i="3"/>
  <c r="G256" i="3"/>
  <c r="BA259" i="3"/>
  <c r="AZ259" i="3" s="1"/>
  <c r="BA168" i="3"/>
  <c r="AZ168" i="3" s="1"/>
  <c r="BA276" i="3"/>
  <c r="BL286" i="3"/>
  <c r="AZ286" i="3" s="1"/>
  <c r="BA126" i="3"/>
  <c r="BL146" i="3"/>
  <c r="BL157" i="3"/>
  <c r="BL159" i="3"/>
  <c r="AZ159" i="3" s="1"/>
  <c r="BL166" i="3"/>
  <c r="BL186" i="3"/>
  <c r="BL189" i="3"/>
  <c r="BL190" i="3"/>
  <c r="BA192" i="3"/>
  <c r="AZ192" i="3" s="1"/>
  <c r="BL23" i="3"/>
  <c r="BA42" i="3"/>
  <c r="BL49" i="3"/>
  <c r="BA56" i="3"/>
  <c r="BA57" i="3"/>
  <c r="AZ57" i="3" s="1"/>
  <c r="BL58" i="3"/>
  <c r="BA60" i="3"/>
  <c r="BA66" i="3"/>
  <c r="BA71" i="3"/>
  <c r="BL77" i="3"/>
  <c r="BA90" i="3"/>
  <c r="BL92" i="3"/>
  <c r="BL96" i="3"/>
  <c r="BA100" i="3"/>
  <c r="BA103" i="3"/>
  <c r="W21" i="21"/>
  <c r="AA21" i="33"/>
  <c r="AB21" i="37"/>
  <c r="F29" i="39"/>
  <c r="AA29" i="39" s="1"/>
  <c r="O68" i="71"/>
  <c r="AA35" i="71"/>
  <c r="B51" i="71"/>
  <c r="B52" i="71" s="1"/>
  <c r="S52" i="71" s="1"/>
  <c r="S68" i="71"/>
  <c r="V68" i="71"/>
  <c r="F71" i="71"/>
  <c r="F70" i="71" s="1"/>
  <c r="BA267" i="3"/>
  <c r="AZ267" i="3" s="1"/>
  <c r="G270" i="3"/>
  <c r="G271" i="3"/>
  <c r="BA271" i="3"/>
  <c r="AZ271" i="3" s="1"/>
  <c r="BL271" i="3"/>
  <c r="BA275" i="3"/>
  <c r="G279" i="3"/>
  <c r="BA279" i="3"/>
  <c r="G282" i="3"/>
  <c r="G286" i="3"/>
  <c r="G292" i="3"/>
  <c r="G297" i="3"/>
  <c r="G116" i="3"/>
  <c r="BA116" i="3"/>
  <c r="AZ116" i="3" s="1"/>
  <c r="BA121" i="3"/>
  <c r="BL121" i="3"/>
  <c r="BA125" i="3"/>
  <c r="G128" i="3"/>
  <c r="BA129" i="3"/>
  <c r="G146" i="3"/>
  <c r="G152" i="3"/>
  <c r="BL163" i="3"/>
  <c r="AZ163" i="3" s="1"/>
  <c r="G170" i="3"/>
  <c r="G174" i="3"/>
  <c r="BL183" i="3"/>
  <c r="AZ183" i="3" s="1"/>
  <c r="BA186" i="3"/>
  <c r="G198" i="3"/>
  <c r="BL205" i="3"/>
  <c r="G18" i="3"/>
  <c r="BA18" i="3"/>
  <c r="G21" i="3"/>
  <c r="BL21" i="3"/>
  <c r="G23" i="3"/>
  <c r="BL35" i="3"/>
  <c r="BA37" i="3"/>
  <c r="G39" i="3"/>
  <c r="BL39" i="3"/>
  <c r="BA41" i="3"/>
  <c r="G44" i="3"/>
  <c r="BA55" i="3"/>
  <c r="BA65" i="3"/>
  <c r="BA70" i="3"/>
  <c r="BL76" i="3"/>
  <c r="BL86" i="3"/>
  <c r="G87" i="3"/>
  <c r="G88" i="3"/>
  <c r="G92" i="3"/>
  <c r="G95" i="3"/>
  <c r="G112" i="3"/>
  <c r="K13" i="1"/>
  <c r="M13" i="1" s="1"/>
  <c r="O13" i="1" s="1"/>
  <c r="P13" i="1" s="1"/>
  <c r="J51" i="15"/>
  <c r="AB21" i="33"/>
  <c r="B88" i="43"/>
  <c r="B40" i="71"/>
  <c r="S40" i="71" s="1"/>
  <c r="X26" i="71"/>
  <c r="Y29" i="71"/>
  <c r="Z29" i="71" s="1"/>
  <c r="X25" i="71"/>
  <c r="BA263" i="3"/>
  <c r="G266" i="3"/>
  <c r="BL272" i="3"/>
  <c r="G280" i="3"/>
  <c r="G281" i="3"/>
  <c r="BA281" i="3"/>
  <c r="G284" i="3"/>
  <c r="G289" i="3"/>
  <c r="G295" i="3"/>
  <c r="BA296" i="3"/>
  <c r="BL298" i="3"/>
  <c r="BA301" i="3"/>
  <c r="BL122" i="3"/>
  <c r="G127" i="3"/>
  <c r="G130" i="3"/>
  <c r="BL133" i="3"/>
  <c r="G135" i="3"/>
  <c r="G136" i="3"/>
  <c r="BA145" i="3"/>
  <c r="G150" i="3"/>
  <c r="G154" i="3"/>
  <c r="BA156" i="3"/>
  <c r="AZ156" i="3" s="1"/>
  <c r="BL161" i="3"/>
  <c r="G167" i="3"/>
  <c r="BL181" i="3"/>
  <c r="G182" i="3"/>
  <c r="BA188" i="3"/>
  <c r="AZ188" i="3" s="1"/>
  <c r="BA194" i="3"/>
  <c r="BL195" i="3"/>
  <c r="AZ195" i="3" s="1"/>
  <c r="G196" i="3"/>
  <c r="BA197" i="3"/>
  <c r="BA201" i="3"/>
  <c r="G19" i="3"/>
  <c r="BL24" i="3"/>
  <c r="BA30" i="3"/>
  <c r="AZ30" i="3" s="1"/>
  <c r="G32" i="3"/>
  <c r="G33" i="3"/>
  <c r="G34" i="3"/>
  <c r="G38" i="3"/>
  <c r="G41" i="3"/>
  <c r="BA43" i="3"/>
  <c r="G46" i="3"/>
  <c r="G47" i="3"/>
  <c r="BL50" i="3"/>
  <c r="BL51" i="3"/>
  <c r="BA62" i="3"/>
  <c r="BA67" i="3"/>
  <c r="BA72" i="3"/>
  <c r="BL79" i="3"/>
  <c r="BL81" i="3"/>
  <c r="BA82" i="3"/>
  <c r="AZ82" i="3" s="1"/>
  <c r="BA92" i="3"/>
  <c r="BL103" i="3"/>
  <c r="BA104" i="3"/>
  <c r="G108" i="3"/>
  <c r="G109" i="3"/>
  <c r="C29" i="39"/>
  <c r="P67" i="71"/>
  <c r="C30" i="71"/>
  <c r="D30" i="71" s="1"/>
  <c r="AB32" i="71"/>
  <c r="B71" i="71"/>
  <c r="B70" i="71" s="1"/>
  <c r="F21" i="39"/>
  <c r="AA21" i="39" s="1"/>
  <c r="C18" i="9"/>
  <c r="D18" i="9" s="1"/>
  <c r="J25" i="39"/>
  <c r="AC25" i="39" s="1"/>
  <c r="D22" i="15"/>
  <c r="D23" i="15"/>
  <c r="J1" i="73"/>
  <c r="H25" i="39"/>
  <c r="AB25" i="39" s="1"/>
  <c r="F25" i="39"/>
  <c r="AA25" i="39" s="1"/>
  <c r="AC38" i="39"/>
  <c r="S31" i="39"/>
  <c r="AC32" i="39"/>
  <c r="S42" i="39"/>
  <c r="U29" i="39"/>
  <c r="W27" i="39"/>
  <c r="AB27" i="39"/>
  <c r="AA27" i="39"/>
  <c r="W23" i="39"/>
  <c r="AA23" i="39"/>
  <c r="BA17" i="3"/>
  <c r="AZ17" i="3" s="1"/>
  <c r="E19" i="6"/>
  <c r="K6" i="1" s="1"/>
  <c r="U21" i="1"/>
  <c r="S22" i="1"/>
  <c r="C40" i="68"/>
  <c r="BF5" i="3"/>
  <c r="BB5" i="3"/>
  <c r="U17" i="39"/>
  <c r="S17" i="39"/>
  <c r="U36" i="39"/>
  <c r="J35" i="39"/>
  <c r="AC35" i="39" s="1"/>
  <c r="H35" i="39"/>
  <c r="U37" i="39"/>
  <c r="AC41" i="39"/>
  <c r="U41" i="39"/>
  <c r="S40" i="39"/>
  <c r="U40" i="39"/>
  <c r="AA39" i="39"/>
  <c r="AB39" i="39"/>
  <c r="W8" i="39"/>
  <c r="AB8" i="39"/>
  <c r="F30" i="69"/>
  <c r="F48" i="69" s="1"/>
  <c r="F32" i="67"/>
  <c r="F60" i="67" s="1"/>
  <c r="F54" i="9"/>
  <c r="F31" i="12"/>
  <c r="D68" i="9"/>
  <c r="F28" i="15"/>
  <c r="F28" i="67"/>
  <c r="M18" i="15"/>
  <c r="M18" i="67"/>
  <c r="F30" i="11"/>
  <c r="C48" i="11" s="1"/>
  <c r="F32" i="15"/>
  <c r="F60" i="15" s="1"/>
  <c r="F52" i="9"/>
  <c r="F30" i="68"/>
  <c r="F48" i="68" s="1"/>
  <c r="C21" i="68"/>
  <c r="BA13" i="3"/>
  <c r="AZ13" i="3" s="1"/>
  <c r="C17" i="40"/>
  <c r="B61" i="43"/>
  <c r="B68" i="43"/>
  <c r="B16" i="53"/>
  <c r="B33" i="72" s="1"/>
  <c r="M47" i="9"/>
  <c r="C7" i="35"/>
  <c r="C48" i="35" s="1"/>
  <c r="D48" i="35" s="1"/>
  <c r="C42" i="1"/>
  <c r="C24" i="12" s="1"/>
  <c r="C7" i="40"/>
  <c r="C63" i="40" s="1"/>
  <c r="D63" i="40" s="1"/>
  <c r="C7" i="39"/>
  <c r="C67" i="39" s="1"/>
  <c r="C7" i="36"/>
  <c r="C46" i="36" s="1"/>
  <c r="D46" i="36" s="1"/>
  <c r="E46" i="36" s="1"/>
  <c r="F46" i="36" s="1"/>
  <c r="G46" i="36" s="1"/>
  <c r="H46" i="36" s="1"/>
  <c r="I46" i="36" s="1"/>
  <c r="C7" i="21"/>
  <c r="C58" i="21" s="1"/>
  <c r="D58" i="21" s="1"/>
  <c r="AZ536" i="3"/>
  <c r="AZ529" i="3"/>
  <c r="W25" i="33"/>
  <c r="AA36" i="33"/>
  <c r="S36" i="33"/>
  <c r="S15" i="37"/>
  <c r="AA15" i="37"/>
  <c r="AC25" i="21"/>
  <c r="W25" i="21"/>
  <c r="AZ537" i="3"/>
  <c r="AZ518" i="3"/>
  <c r="AB38" i="37"/>
  <c r="U38" i="37"/>
  <c r="AA28" i="37"/>
  <c r="S28" i="37"/>
  <c r="AC31" i="34"/>
  <c r="W31" i="34"/>
  <c r="W11" i="35"/>
  <c r="AC11" i="35"/>
  <c r="S28" i="33"/>
  <c r="AA28" i="33"/>
  <c r="W28" i="21"/>
  <c r="AC28" i="21"/>
  <c r="S41" i="39"/>
  <c r="AA41" i="39"/>
  <c r="W44" i="39"/>
  <c r="AC44" i="39"/>
  <c r="U35" i="21"/>
  <c r="AB35" i="21"/>
  <c r="W45" i="21"/>
  <c r="AC45" i="21"/>
  <c r="AC38" i="33"/>
  <c r="W38" i="33"/>
  <c r="H36" i="35"/>
  <c r="J36" i="35"/>
  <c r="AC36" i="35" s="1"/>
  <c r="U25" i="37"/>
  <c r="AB25" i="37"/>
  <c r="BL551" i="3"/>
  <c r="BL550" i="3"/>
  <c r="AZ549" i="3"/>
  <c r="BA548" i="3"/>
  <c r="BA547" i="3"/>
  <c r="BL546" i="3"/>
  <c r="AZ546" i="3" s="1"/>
  <c r="BL545" i="3"/>
  <c r="BA544" i="3"/>
  <c r="AZ544" i="3" s="1"/>
  <c r="BA543" i="3"/>
  <c r="AZ543" i="3" s="1"/>
  <c r="BA542" i="3"/>
  <c r="AZ542" i="3" s="1"/>
  <c r="BL540" i="3"/>
  <c r="BA540" i="3"/>
  <c r="BA539" i="3"/>
  <c r="BL538" i="3"/>
  <c r="AZ538" i="3" s="1"/>
  <c r="BA535" i="3"/>
  <c r="AZ533" i="3"/>
  <c r="BA531" i="3"/>
  <c r="BL530" i="3"/>
  <c r="BA528" i="3"/>
  <c r="AZ528" i="3" s="1"/>
  <c r="BA527" i="3"/>
  <c r="BA524" i="3"/>
  <c r="AZ524" i="3" s="1"/>
  <c r="BA523" i="3"/>
  <c r="BL522" i="3"/>
  <c r="AZ522" i="3" s="1"/>
  <c r="BL520" i="3"/>
  <c r="BA520" i="3"/>
  <c r="AZ520" i="3" s="1"/>
  <c r="BL518" i="3"/>
  <c r="BA517" i="3"/>
  <c r="BA516" i="3"/>
  <c r="AZ516" i="3" s="1"/>
  <c r="BL513" i="3"/>
  <c r="BA513" i="3"/>
  <c r="BL512" i="3"/>
  <c r="BA512" i="3"/>
  <c r="BL510" i="3"/>
  <c r="BA510" i="3"/>
  <c r="BA509" i="3"/>
  <c r="AZ509" i="3" s="1"/>
  <c r="BL508" i="3"/>
  <c r="BA508" i="3"/>
  <c r="AZ508" i="3" s="1"/>
  <c r="BA507" i="3"/>
  <c r="BA504" i="3"/>
  <c r="AZ504" i="3" s="1"/>
  <c r="BA503" i="3"/>
  <c r="BL502" i="3"/>
  <c r="AZ502" i="3" s="1"/>
  <c r="BA502" i="3"/>
  <c r="BL500" i="3"/>
  <c r="AZ500" i="3" s="1"/>
  <c r="BR5" i="3"/>
  <c r="BA499" i="3"/>
  <c r="AZ499" i="3" s="1"/>
  <c r="BH5" i="3"/>
  <c r="BA498" i="3"/>
  <c r="AZ498" i="3" s="1"/>
  <c r="H5" i="3"/>
  <c r="G498" i="3"/>
  <c r="BA496" i="3"/>
  <c r="AZ496" i="3" s="1"/>
  <c r="BA495" i="3"/>
  <c r="AZ495" i="3" s="1"/>
  <c r="BL494" i="3"/>
  <c r="AZ494" i="3" s="1"/>
  <c r="BS5" i="3"/>
  <c r="BI5" i="3"/>
  <c r="AA17" i="33"/>
  <c r="AB21" i="39"/>
  <c r="S23" i="37"/>
  <c r="AA23" i="37"/>
  <c r="AA17" i="37"/>
  <c r="S17" i="37"/>
  <c r="AC13" i="39"/>
  <c r="AA43" i="34"/>
  <c r="S43" i="34"/>
  <c r="AA30" i="40"/>
  <c r="AB32" i="37"/>
  <c r="U32" i="37"/>
  <c r="U13" i="37"/>
  <c r="AZ322" i="3"/>
  <c r="AZ389" i="3"/>
  <c r="AZ378" i="3"/>
  <c r="AZ341" i="3"/>
  <c r="U31" i="37"/>
  <c r="AB31" i="37"/>
  <c r="AC43" i="33"/>
  <c r="W43" i="33"/>
  <c r="BL531" i="3"/>
  <c r="AC47" i="34"/>
  <c r="W47" i="34"/>
  <c r="AA45" i="33"/>
  <c r="S45" i="33"/>
  <c r="AC44" i="21"/>
  <c r="W44" i="21"/>
  <c r="AA28" i="21"/>
  <c r="S28" i="21"/>
  <c r="U42" i="21"/>
  <c r="AB42" i="21"/>
  <c r="W11" i="33"/>
  <c r="AC11" i="33"/>
  <c r="AA37" i="39"/>
  <c r="S37" i="39"/>
  <c r="S38" i="21"/>
  <c r="AA38" i="21"/>
  <c r="BA586" i="3"/>
  <c r="F30" i="21"/>
  <c r="H30" i="21"/>
  <c r="B101" i="43"/>
  <c r="B79" i="43"/>
  <c r="C25" i="39"/>
  <c r="H9" i="33"/>
  <c r="F9" i="33"/>
  <c r="AA9" i="33" s="1"/>
  <c r="AC28" i="36"/>
  <c r="W28" i="36"/>
  <c r="S25" i="36"/>
  <c r="AA25" i="36"/>
  <c r="AA30" i="37"/>
  <c r="S30" i="37"/>
  <c r="AC31" i="37"/>
  <c r="W31" i="37"/>
  <c r="AB9" i="40"/>
  <c r="U9" i="40"/>
  <c r="BL584" i="3"/>
  <c r="AZ584" i="3" s="1"/>
  <c r="BA583" i="3"/>
  <c r="AZ583" i="3" s="1"/>
  <c r="BA582" i="3"/>
  <c r="AZ582" i="3" s="1"/>
  <c r="W12" i="37"/>
  <c r="AC12" i="37"/>
  <c r="F36" i="35"/>
  <c r="BL511" i="3"/>
  <c r="AZ511" i="3" s="1"/>
  <c r="BL539" i="3"/>
  <c r="AZ573" i="3"/>
  <c r="AZ493" i="3"/>
  <c r="AZ572" i="3"/>
  <c r="AC27" i="37"/>
  <c r="W27" i="37"/>
  <c r="AA33" i="35"/>
  <c r="S33" i="35"/>
  <c r="AB15" i="33"/>
  <c r="U15" i="33"/>
  <c r="AB38" i="34"/>
  <c r="U38" i="34"/>
  <c r="W11" i="40"/>
  <c r="AC11" i="40"/>
  <c r="AB39" i="33"/>
  <c r="U39" i="33"/>
  <c r="J31" i="21"/>
  <c r="H31" i="21"/>
  <c r="AA19" i="21"/>
  <c r="S19" i="21"/>
  <c r="AB28" i="35"/>
  <c r="U28" i="35"/>
  <c r="J13" i="34"/>
  <c r="F13" i="34"/>
  <c r="H47" i="34"/>
  <c r="F47" i="34"/>
  <c r="U23" i="35"/>
  <c r="AB23" i="35"/>
  <c r="H13" i="39"/>
  <c r="F13" i="39"/>
  <c r="J33" i="40"/>
  <c r="F33" i="40"/>
  <c r="H33" i="40"/>
  <c r="BL555" i="3"/>
  <c r="AZ555" i="3" s="1"/>
  <c r="W9" i="21"/>
  <c r="S32" i="39"/>
  <c r="AC15" i="21"/>
  <c r="D121" i="9"/>
  <c r="D7" i="52" s="1"/>
  <c r="D6" i="52"/>
  <c r="U35" i="40"/>
  <c r="AC33" i="34"/>
  <c r="W33" i="34"/>
  <c r="S40" i="34"/>
  <c r="AA40" i="34"/>
  <c r="AC27" i="40"/>
  <c r="W27" i="40"/>
  <c r="AZ311" i="3"/>
  <c r="W23" i="37"/>
  <c r="W17" i="33"/>
  <c r="AA19" i="33"/>
  <c r="AA25" i="33"/>
  <c r="AC45" i="34"/>
  <c r="AC17" i="39"/>
  <c r="AZ390" i="3"/>
  <c r="AZ351" i="3"/>
  <c r="AB21" i="40"/>
  <c r="U21" i="40"/>
  <c r="W44" i="33"/>
  <c r="S26" i="36"/>
  <c r="AA26" i="36"/>
  <c r="AA42" i="33"/>
  <c r="S42" i="33"/>
  <c r="BL519" i="3"/>
  <c r="AZ519" i="3" s="1"/>
  <c r="U14" i="40"/>
  <c r="AB14" i="40"/>
  <c r="AB46" i="33"/>
  <c r="U46" i="33"/>
  <c r="AB32" i="36"/>
  <c r="U32" i="36"/>
  <c r="S23" i="34"/>
  <c r="AA23" i="34"/>
  <c r="AA35" i="39"/>
  <c r="S35" i="39"/>
  <c r="AA26" i="21"/>
  <c r="S26" i="21"/>
  <c r="B97" i="43"/>
  <c r="B75" i="43"/>
  <c r="B65" i="43"/>
  <c r="AB40" i="33"/>
  <c r="U40" i="33"/>
  <c r="AB34" i="35"/>
  <c r="U34" i="35"/>
  <c r="J13" i="36"/>
  <c r="W13" i="36" s="1"/>
  <c r="H13" i="36"/>
  <c r="AZ579" i="3"/>
  <c r="BL575" i="3"/>
  <c r="AZ575" i="3" s="1"/>
  <c r="AZ574" i="3"/>
  <c r="AZ571" i="3"/>
  <c r="AZ570" i="3"/>
  <c r="BL567" i="3"/>
  <c r="AZ566" i="3"/>
  <c r="BL563" i="3"/>
  <c r="AZ563" i="3" s="1"/>
  <c r="BL561" i="3"/>
  <c r="AZ561" i="3" s="1"/>
  <c r="AZ559" i="3"/>
  <c r="AZ557" i="3"/>
  <c r="AZ329" i="3"/>
  <c r="AZ306" i="3"/>
  <c r="F31" i="40"/>
  <c r="BL535" i="3"/>
  <c r="AZ535" i="3" s="1"/>
  <c r="BL577" i="3"/>
  <c r="AZ577" i="3" s="1"/>
  <c r="J25" i="36"/>
  <c r="BL587" i="3"/>
  <c r="AZ587" i="3" s="1"/>
  <c r="BL586" i="3"/>
  <c r="J24" i="36"/>
  <c r="H24" i="36"/>
  <c r="F44" i="39"/>
  <c r="J31" i="40"/>
  <c r="G552" i="3"/>
  <c r="AZ443" i="3"/>
  <c r="AA15" i="21"/>
  <c r="U38" i="39"/>
  <c r="U29" i="34"/>
  <c r="W41" i="21"/>
  <c r="S23" i="35"/>
  <c r="S9" i="39"/>
  <c r="AZ14" i="3"/>
  <c r="AZ345" i="3"/>
  <c r="AZ334" i="3"/>
  <c r="AZ303" i="3"/>
  <c r="AZ372" i="3"/>
  <c r="AZ347" i="3"/>
  <c r="AZ337" i="3"/>
  <c r="AZ376" i="3"/>
  <c r="AZ309" i="3"/>
  <c r="BL503" i="3"/>
  <c r="BL515" i="3"/>
  <c r="AZ515" i="3" s="1"/>
  <c r="BL523" i="3"/>
  <c r="AZ523" i="3" s="1"/>
  <c r="BL527" i="3"/>
  <c r="BL547" i="3"/>
  <c r="AZ547" i="3" s="1"/>
  <c r="BL569" i="3"/>
  <c r="AZ569" i="3" s="1"/>
  <c r="BL557" i="3"/>
  <c r="J34" i="36"/>
  <c r="W34" i="36" s="1"/>
  <c r="AB39" i="40"/>
  <c r="H39" i="37"/>
  <c r="U35" i="33"/>
  <c r="W22" i="35"/>
  <c r="BL585" i="3"/>
  <c r="AZ585" i="3" s="1"/>
  <c r="F12" i="35"/>
  <c r="AA12" i="35" s="1"/>
  <c r="J12" i="35"/>
  <c r="J12" i="36"/>
  <c r="H12" i="36"/>
  <c r="G582" i="3"/>
  <c r="G574" i="3"/>
  <c r="BL15" i="3"/>
  <c r="AZ15" i="3" s="1"/>
  <c r="AZ451" i="3"/>
  <c r="AZ460" i="3"/>
  <c r="AZ469" i="3"/>
  <c r="AZ201" i="3"/>
  <c r="BL16" i="3"/>
  <c r="AZ16" i="3" s="1"/>
  <c r="BA401" i="3"/>
  <c r="AZ401" i="3" s="1"/>
  <c r="BA403" i="3"/>
  <c r="BA404" i="3"/>
  <c r="AZ404" i="3" s="1"/>
  <c r="BA405" i="3"/>
  <c r="AZ405" i="3" s="1"/>
  <c r="G409" i="3"/>
  <c r="BL410" i="3"/>
  <c r="G412" i="3"/>
  <c r="G418" i="3"/>
  <c r="G419" i="3"/>
  <c r="BA422" i="3"/>
  <c r="G429" i="3"/>
  <c r="G430" i="3"/>
  <c r="BL431" i="3"/>
  <c r="G433" i="3"/>
  <c r="BL434" i="3"/>
  <c r="AZ434" i="3" s="1"/>
  <c r="G437" i="3"/>
  <c r="BL438" i="3"/>
  <c r="BL439" i="3"/>
  <c r="BA441" i="3"/>
  <c r="AZ441" i="3" s="1"/>
  <c r="BL445" i="3"/>
  <c r="BL446" i="3"/>
  <c r="BL449" i="3"/>
  <c r="BL450" i="3"/>
  <c r="AZ450" i="3" s="1"/>
  <c r="BL452" i="3"/>
  <c r="G454" i="3"/>
  <c r="G455" i="3"/>
  <c r="BL456" i="3"/>
  <c r="AZ456" i="3" s="1"/>
  <c r="BA464" i="3"/>
  <c r="AZ464" i="3" s="1"/>
  <c r="BL467" i="3"/>
  <c r="BL468" i="3"/>
  <c r="BL470" i="3"/>
  <c r="AZ470" i="3" s="1"/>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G397" i="3"/>
  <c r="G210" i="3"/>
  <c r="G217" i="3"/>
  <c r="BL217" i="3"/>
  <c r="AZ217" i="3" s="1"/>
  <c r="BA219" i="3"/>
  <c r="BA222" i="3"/>
  <c r="AZ222" i="3" s="1"/>
  <c r="BA224" i="3"/>
  <c r="AZ224" i="3" s="1"/>
  <c r="BA227" i="3"/>
  <c r="AZ227" i="3" s="1"/>
  <c r="BA230" i="3"/>
  <c r="AZ230" i="3" s="1"/>
  <c r="BL231" i="3"/>
  <c r="BA235" i="3"/>
  <c r="AZ235" i="3" s="1"/>
  <c r="BA236" i="3"/>
  <c r="AZ236" i="3" s="1"/>
  <c r="BA250" i="3"/>
  <c r="AZ250" i="3" s="1"/>
  <c r="BL278" i="3"/>
  <c r="BA177" i="3"/>
  <c r="AZ177" i="3" s="1"/>
  <c r="F25" i="37"/>
  <c r="BA551" i="3"/>
  <c r="AZ551" i="3" s="1"/>
  <c r="BA550" i="3"/>
  <c r="BL548" i="3"/>
  <c r="BL400" i="3"/>
  <c r="AZ400" i="3" s="1"/>
  <c r="BL408" i="3"/>
  <c r="BL411" i="3"/>
  <c r="BL413" i="3"/>
  <c r="AZ413" i="3" s="1"/>
  <c r="BL417" i="3"/>
  <c r="BL418" i="3"/>
  <c r="AZ418" i="3" s="1"/>
  <c r="BL420" i="3"/>
  <c r="BL424" i="3"/>
  <c r="AZ424" i="3" s="1"/>
  <c r="BL428" i="3"/>
  <c r="BL429" i="3"/>
  <c r="BL432" i="3"/>
  <c r="BL435" i="3"/>
  <c r="AZ435" i="3" s="1"/>
  <c r="BL436" i="3"/>
  <c r="BA439" i="3"/>
  <c r="AZ439" i="3" s="1"/>
  <c r="BA440" i="3"/>
  <c r="AZ440" i="3" s="1"/>
  <c r="BA442" i="3"/>
  <c r="AZ442" i="3" s="1"/>
  <c r="BA445" i="3"/>
  <c r="BA447" i="3"/>
  <c r="AZ447" i="3" s="1"/>
  <c r="BA449" i="3"/>
  <c r="BL453" i="3"/>
  <c r="BL454" i="3"/>
  <c r="AZ454" i="3" s="1"/>
  <c r="BL459" i="3"/>
  <c r="AZ459" i="3" s="1"/>
  <c r="BA465" i="3"/>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0" i="3"/>
  <c r="BL221" i="3"/>
  <c r="BL223" i="3"/>
  <c r="AZ223" i="3" s="1"/>
  <c r="BL228" i="3"/>
  <c r="AZ228" i="3" s="1"/>
  <c r="BA233" i="3"/>
  <c r="BL234" i="3"/>
  <c r="BL237" i="3"/>
  <c r="BL238" i="3"/>
  <c r="AZ238" i="3" s="1"/>
  <c r="BA243" i="3"/>
  <c r="AZ243" i="3" s="1"/>
  <c r="BA248" i="3"/>
  <c r="BA288" i="3"/>
  <c r="BA133" i="3"/>
  <c r="AZ133" i="3" s="1"/>
  <c r="BL173" i="3"/>
  <c r="BL398" i="3"/>
  <c r="AZ398" i="3" s="1"/>
  <c r="G402" i="3"/>
  <c r="BL403" i="3"/>
  <c r="G405" i="3"/>
  <c r="G406" i="3"/>
  <c r="BA408" i="3"/>
  <c r="BA409" i="3"/>
  <c r="AZ409" i="3" s="1"/>
  <c r="BA411" i="3"/>
  <c r="BL414" i="3"/>
  <c r="AZ414" i="3" s="1"/>
  <c r="BL415" i="3"/>
  <c r="AZ415" i="3" s="1"/>
  <c r="BA417" i="3"/>
  <c r="BL421" i="3"/>
  <c r="BL422" i="3"/>
  <c r="BL425" i="3"/>
  <c r="BL426" i="3"/>
  <c r="AZ426" i="3" s="1"/>
  <c r="BA428" i="3"/>
  <c r="AZ428" i="3" s="1"/>
  <c r="BA429" i="3"/>
  <c r="AZ429" i="3" s="1"/>
  <c r="BA430" i="3"/>
  <c r="AZ430" i="3" s="1"/>
  <c r="BA432" i="3"/>
  <c r="BA434" i="3"/>
  <c r="BA436" i="3"/>
  <c r="BA438" i="3"/>
  <c r="G442" i="3"/>
  <c r="G443" i="3"/>
  <c r="BA446" i="3"/>
  <c r="AZ446" i="3" s="1"/>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5" i="3"/>
  <c r="BA218" i="3"/>
  <c r="AZ218" i="3" s="1"/>
  <c r="BL218" i="3"/>
  <c r="G226" i="3"/>
  <c r="BA132" i="3"/>
  <c r="AZ132" i="3" s="1"/>
  <c r="BA157" i="3"/>
  <c r="AZ157" i="3" s="1"/>
  <c r="BA249" i="3"/>
  <c r="BL249" i="3"/>
  <c r="BA251" i="3"/>
  <c r="AZ251" i="3" s="1"/>
  <c r="BL251" i="3"/>
  <c r="BA253" i="3"/>
  <c r="BL260" i="3"/>
  <c r="BL263" i="3"/>
  <c r="AZ263" i="3" s="1"/>
  <c r="BL270" i="3"/>
  <c r="BA272" i="3"/>
  <c r="AZ272" i="3" s="1"/>
  <c r="BL275" i="3"/>
  <c r="BL285" i="3"/>
  <c r="BL287" i="3"/>
  <c r="BA290" i="3"/>
  <c r="AZ290" i="3" s="1"/>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BA184" i="3"/>
  <c r="AZ184" i="3" s="1"/>
  <c r="BL187" i="3"/>
  <c r="AZ187" i="3" s="1"/>
  <c r="BA189" i="3"/>
  <c r="AZ189" i="3" s="1"/>
  <c r="BA190" i="3"/>
  <c r="AZ190" i="3" s="1"/>
  <c r="BL197" i="3"/>
  <c r="BL201" i="3"/>
  <c r="BL203" i="3"/>
  <c r="AZ203" i="3" s="1"/>
  <c r="BA204" i="3"/>
  <c r="AZ204" i="3" s="1"/>
  <c r="BL207" i="3"/>
  <c r="AZ207" i="3" s="1"/>
  <c r="BL18" i="3"/>
  <c r="BL19" i="3"/>
  <c r="BA20" i="3"/>
  <c r="BL25" i="3"/>
  <c r="BL27" i="3"/>
  <c r="BA28" i="3"/>
  <c r="G216" i="3"/>
  <c r="BL225" i="3"/>
  <c r="AZ225" i="3" s="1"/>
  <c r="BL226" i="3"/>
  <c r="G227"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AZ284" i="3" s="1"/>
  <c r="BL290" i="3"/>
  <c r="BL291" i="3"/>
  <c r="AZ291" i="3" s="1"/>
  <c r="BL293" i="3"/>
  <c r="AZ293" i="3" s="1"/>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AZ103" i="3"/>
  <c r="BA32" i="3"/>
  <c r="BA38" i="3"/>
  <c r="BA45" i="3"/>
  <c r="BA46" i="3"/>
  <c r="BA50" i="3"/>
  <c r="AZ50" i="3" s="1"/>
  <c r="AZ65" i="3"/>
  <c r="BA237" i="3"/>
  <c r="BL240" i="3"/>
  <c r="BA242" i="3"/>
  <c r="AZ242" i="3" s="1"/>
  <c r="BL245" i="3"/>
  <c r="AZ245" i="3" s="1"/>
  <c r="G247" i="3"/>
  <c r="BL255" i="3"/>
  <c r="AZ255" i="3" s="1"/>
  <c r="G257" i="3"/>
  <c r="BL257" i="3"/>
  <c r="AZ257" i="3" s="1"/>
  <c r="BL258" i="3"/>
  <c r="G259" i="3"/>
  <c r="BA262" i="3"/>
  <c r="AZ262" i="3" s="1"/>
  <c r="G265" i="3"/>
  <c r="BL265" i="3"/>
  <c r="AZ265" i="3" s="1"/>
  <c r="G267" i="3"/>
  <c r="G269" i="3"/>
  <c r="BA273" i="3"/>
  <c r="BA278" i="3"/>
  <c r="BA280" i="3"/>
  <c r="AZ280" i="3" s="1"/>
  <c r="G283" i="3"/>
  <c r="BL283" i="3"/>
  <c r="AZ283" i="3" s="1"/>
  <c r="BL284" i="3"/>
  <c r="G285" i="3"/>
  <c r="G288" i="3"/>
  <c r="BL292" i="3"/>
  <c r="BA294" i="3"/>
  <c r="BL295" i="3"/>
  <c r="BA298" i="3"/>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L198" i="3"/>
  <c r="BL199" i="3"/>
  <c r="AZ199" i="3" s="1"/>
  <c r="BA200" i="3"/>
  <c r="AZ200" i="3" s="1"/>
  <c r="BA31" i="3"/>
  <c r="BA77" i="3"/>
  <c r="AZ77" i="3" s="1"/>
  <c r="AC29" i="39"/>
  <c r="W29" i="39"/>
  <c r="AA34" i="71"/>
  <c r="AA30" i="71"/>
  <c r="D56" i="71"/>
  <c r="T56" i="71"/>
  <c r="N67" i="71"/>
  <c r="B66" i="71"/>
  <c r="F66" i="71"/>
  <c r="Q66" i="71" s="1"/>
  <c r="Q67" i="71"/>
  <c r="T80" i="71"/>
  <c r="C79" i="71"/>
  <c r="BA185" i="3"/>
  <c r="BL191" i="3"/>
  <c r="AZ191" i="3" s="1"/>
  <c r="G192" i="3"/>
  <c r="BA193" i="3"/>
  <c r="BA196" i="3"/>
  <c r="AZ196" i="3" s="1"/>
  <c r="G203" i="3"/>
  <c r="BA205" i="3"/>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G59" i="3"/>
  <c r="G62" i="3"/>
  <c r="BL62" i="3"/>
  <c r="AZ62" i="3" s="1"/>
  <c r="BL63" i="3"/>
  <c r="AZ63" i="3" s="1"/>
  <c r="G65" i="3"/>
  <c r="BL65" i="3"/>
  <c r="BL66" i="3"/>
  <c r="AZ66" i="3" s="1"/>
  <c r="BL67" i="3"/>
  <c r="AZ67" i="3" s="1"/>
  <c r="G69" i="3"/>
  <c r="G70" i="3"/>
  <c r="BL70" i="3"/>
  <c r="AZ70" i="3" s="1"/>
  <c r="BL71" i="3"/>
  <c r="AZ71" i="3" s="1"/>
  <c r="BL72" i="3"/>
  <c r="AZ72" i="3" s="1"/>
  <c r="G74" i="3"/>
  <c r="G75" i="3"/>
  <c r="BL75" i="3"/>
  <c r="BL91" i="3"/>
  <c r="BL100" i="3"/>
  <c r="AZ100" i="3" s="1"/>
  <c r="BL105" i="3"/>
  <c r="BL107" i="3"/>
  <c r="D54" i="71"/>
  <c r="F34" i="71"/>
  <c r="F35" i="71" s="1"/>
  <c r="F36" i="71" s="1"/>
  <c r="V36" i="71" s="1"/>
  <c r="AB33" i="71"/>
  <c r="AB28" i="71"/>
  <c r="T72" i="71"/>
  <c r="C71" i="71"/>
  <c r="U76" i="71"/>
  <c r="E75" i="71"/>
  <c r="E74" i="71" s="1"/>
  <c r="BL48" i="3"/>
  <c r="BL54" i="3"/>
  <c r="BL55" i="3"/>
  <c r="BA59" i="3"/>
  <c r="BL61" i="3"/>
  <c r="BA64" i="3"/>
  <c r="AZ64" i="3" s="1"/>
  <c r="BL68" i="3"/>
  <c r="BA69" i="3"/>
  <c r="AZ69" i="3" s="1"/>
  <c r="BL73" i="3"/>
  <c r="BA74" i="3"/>
  <c r="AZ74" i="3" s="1"/>
  <c r="BA75" i="3"/>
  <c r="BA78" i="3"/>
  <c r="AZ78" i="3" s="1"/>
  <c r="BA80" i="3"/>
  <c r="BL84" i="3"/>
  <c r="BA89" i="3"/>
  <c r="BL94" i="3"/>
  <c r="AZ94" i="3" s="1"/>
  <c r="BL99" i="3"/>
  <c r="BA102" i="3"/>
  <c r="BL110" i="3"/>
  <c r="BL111" i="3"/>
  <c r="AZ111" i="3" s="1"/>
  <c r="AA18" i="36"/>
  <c r="S18" i="36"/>
  <c r="D55" i="71"/>
  <c r="D72" i="71"/>
  <c r="E28" i="71"/>
  <c r="AA27" i="71"/>
  <c r="AA28" i="71"/>
  <c r="D38" i="71"/>
  <c r="C39" i="71"/>
  <c r="Y30" i="71"/>
  <c r="Z30" i="71" s="1"/>
  <c r="AA38" i="71"/>
  <c r="AA39" i="71"/>
  <c r="D84" i="71"/>
  <c r="C83" i="71"/>
  <c r="F27" i="71"/>
  <c r="F26" i="71" s="1"/>
  <c r="AB27" i="71"/>
  <c r="AB26" i="71"/>
  <c r="BL170" i="3"/>
  <c r="G171" i="3"/>
  <c r="BA173" i="3"/>
  <c r="BA174" i="3"/>
  <c r="BL179" i="3"/>
  <c r="AZ179" i="3" s="1"/>
  <c r="G180" i="3"/>
  <c r="BA181" i="3"/>
  <c r="BA182" i="3"/>
  <c r="BL185" i="3"/>
  <c r="G186" i="3"/>
  <c r="G187" i="3"/>
  <c r="BL193" i="3"/>
  <c r="G194" i="3"/>
  <c r="BL194" i="3"/>
  <c r="AZ194" i="3" s="1"/>
  <c r="BA198" i="3"/>
  <c r="G199" i="3"/>
  <c r="G204" i="3"/>
  <c r="G205" i="3"/>
  <c r="BL206" i="3"/>
  <c r="BA19" i="3"/>
  <c r="G22" i="3"/>
  <c r="G24" i="3"/>
  <c r="G25" i="3"/>
  <c r="G27" i="3"/>
  <c r="BA27" i="3"/>
  <c r="G30" i="3"/>
  <c r="BL30" i="3"/>
  <c r="BL31" i="3"/>
  <c r="G35" i="3"/>
  <c r="G36" i="3"/>
  <c r="G37" i="3"/>
  <c r="G40" i="3"/>
  <c r="BL40" i="3"/>
  <c r="AZ40" i="3" s="1"/>
  <c r="BL41" i="3"/>
  <c r="AZ41" i="3" s="1"/>
  <c r="G45" i="3"/>
  <c r="BL45" i="3"/>
  <c r="BA48" i="3"/>
  <c r="AZ48" i="3" s="1"/>
  <c r="BA49" i="3"/>
  <c r="AZ49" i="3" s="1"/>
  <c r="BA51" i="3"/>
  <c r="G54" i="3"/>
  <c r="G55" i="3"/>
  <c r="BL56" i="3"/>
  <c r="AZ56" i="3" s="1"/>
  <c r="BA58" i="3"/>
  <c r="AZ58" i="3" s="1"/>
  <c r="BL59" i="3"/>
  <c r="BL60" i="3"/>
  <c r="AZ60" i="3" s="1"/>
  <c r="BA61" i="3"/>
  <c r="AZ61" i="3" s="1"/>
  <c r="BA68" i="3"/>
  <c r="BA73" i="3"/>
  <c r="AZ73" i="3" s="1"/>
  <c r="BA79" i="3"/>
  <c r="AZ79" i="3" s="1"/>
  <c r="G82" i="3"/>
  <c r="G83" i="3"/>
  <c r="BA84" i="3"/>
  <c r="AZ84" i="3" s="1"/>
  <c r="BL88" i="3"/>
  <c r="AZ88" i="3" s="1"/>
  <c r="G90" i="3"/>
  <c r="BL90" i="3"/>
  <c r="G98" i="3"/>
  <c r="G99" i="3"/>
  <c r="BA105" i="3"/>
  <c r="BA106" i="3"/>
  <c r="BL108" i="3"/>
  <c r="G110" i="3"/>
  <c r="BL112" i="3"/>
  <c r="AA3" i="71"/>
  <c r="D80"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BA87" i="3"/>
  <c r="BA91" i="3"/>
  <c r="AZ91" i="3" s="1"/>
  <c r="G96" i="3"/>
  <c r="BL97" i="3"/>
  <c r="AZ97" i="3" s="1"/>
  <c r="BL101" i="3"/>
  <c r="AZ101" i="3" s="1"/>
  <c r="BL102" i="3"/>
  <c r="G104" i="3"/>
  <c r="G105" i="3"/>
  <c r="BL106" i="3"/>
  <c r="BA108" i="3"/>
  <c r="BA110" i="3"/>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B57" i="4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BL507" i="3"/>
  <c r="AZ507" i="3" s="1"/>
  <c r="BQ5" i="3"/>
  <c r="AB35" i="35"/>
  <c r="U35" i="35"/>
  <c r="S13" i="35"/>
  <c r="AA13" i="35"/>
  <c r="AB31" i="34"/>
  <c r="U31" i="34"/>
  <c r="S12" i="21"/>
  <c r="AA12" i="21"/>
  <c r="S12" i="35"/>
  <c r="AC45" i="39"/>
  <c r="AA12" i="34"/>
  <c r="S34" i="21"/>
  <c r="J34" i="35"/>
  <c r="F34" i="35"/>
  <c r="J26" i="37"/>
  <c r="F26" i="37"/>
  <c r="F40" i="40"/>
  <c r="G578" i="3"/>
  <c r="AZ410" i="3"/>
  <c r="AZ431" i="3"/>
  <c r="AZ445" i="3"/>
  <c r="AZ449" i="3"/>
  <c r="AZ452" i="3"/>
  <c r="AZ468" i="3"/>
  <c r="W35" i="39"/>
  <c r="F27" i="34"/>
  <c r="C21" i="39"/>
  <c r="U9" i="36"/>
  <c r="U14" i="37"/>
  <c r="H12" i="21"/>
  <c r="G526" i="3"/>
  <c r="AZ420" i="3"/>
  <c r="AZ436" i="3"/>
  <c r="AZ438" i="3"/>
  <c r="G28" i="6"/>
  <c r="G30" i="6" s="1"/>
  <c r="G31" i="6" s="1"/>
  <c r="U26" i="21"/>
  <c r="W36" i="39"/>
  <c r="U23" i="40"/>
  <c r="AA39" i="37"/>
  <c r="AC16" i="36"/>
  <c r="AB12" i="33"/>
  <c r="C27" i="39"/>
  <c r="U40" i="40"/>
  <c r="AC9" i="40"/>
  <c r="J12" i="21"/>
  <c r="B73" i="43"/>
  <c r="B76" i="43"/>
  <c r="F9" i="36"/>
  <c r="J40" i="40"/>
  <c r="G562" i="3"/>
  <c r="AZ463" i="3"/>
  <c r="AZ489"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G230" i="3"/>
  <c r="BA232" i="3"/>
  <c r="AZ232" i="3" s="1"/>
  <c r="BA234" i="3"/>
  <c r="AZ234" i="3" s="1"/>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G272" i="3"/>
  <c r="G275" i="3"/>
  <c r="BL276" i="3"/>
  <c r="AZ276" i="3" s="1"/>
  <c r="BL279" i="3"/>
  <c r="BL281" i="3"/>
  <c r="AZ281" i="3" s="1"/>
  <c r="BA285" i="3"/>
  <c r="BA287" i="3"/>
  <c r="AZ287" i="3" s="1"/>
  <c r="AZ134"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BA158" i="3"/>
  <c r="AZ158" i="3" s="1"/>
  <c r="BA161" i="3"/>
  <c r="BA172" i="3"/>
  <c r="AZ172" i="3" s="1"/>
  <c r="AZ18" i="3"/>
  <c r="BL288" i="3"/>
  <c r="BA292" i="3"/>
  <c r="BA295" i="3"/>
  <c r="AZ295" i="3" s="1"/>
  <c r="G298" i="3"/>
  <c r="BA299" i="3"/>
  <c r="AZ299" i="3" s="1"/>
  <c r="BA300" i="3"/>
  <c r="AZ300" i="3" s="1"/>
  <c r="BA113" i="3"/>
  <c r="G119" i="3"/>
  <c r="G122" i="3"/>
  <c r="G131" i="3"/>
  <c r="BA136" i="3"/>
  <c r="AZ136" i="3" s="1"/>
  <c r="BA138" i="3"/>
  <c r="BA141" i="3"/>
  <c r="AZ141" i="3" s="1"/>
  <c r="BL145" i="3"/>
  <c r="BL147" i="3"/>
  <c r="AZ147" i="3" s="1"/>
  <c r="G148" i="3"/>
  <c r="BL151" i="3"/>
  <c r="AZ151" i="3" s="1"/>
  <c r="BA165" i="3"/>
  <c r="AZ165" i="3" s="1"/>
  <c r="G168" i="3"/>
  <c r="BA170" i="3"/>
  <c r="BL174" i="3"/>
  <c r="AZ174" i="3" s="1"/>
  <c r="AZ185" i="3"/>
  <c r="AZ193" i="3"/>
  <c r="BL202" i="3"/>
  <c r="AZ202" i="3" s="1"/>
  <c r="BL36" i="3"/>
  <c r="AZ68" i="3"/>
  <c r="AZ106" i="3"/>
  <c r="G200" i="3"/>
  <c r="G207" i="3"/>
  <c r="BA23" i="3"/>
  <c r="BA24" i="3"/>
  <c r="AZ24" i="3" s="1"/>
  <c r="BL26" i="3"/>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90" i="3"/>
  <c r="AZ92" i="3"/>
  <c r="BL78" i="3"/>
  <c r="BA83" i="3"/>
  <c r="AZ83" i="3" s="1"/>
  <c r="G91" i="3"/>
  <c r="BL95" i="3"/>
  <c r="AZ95" i="3" s="1"/>
  <c r="BL98" i="3"/>
  <c r="AZ98" i="3" s="1"/>
  <c r="BL109" i="3"/>
  <c r="AZ109" i="3" s="1"/>
  <c r="AB21" i="21"/>
  <c r="G77" i="3"/>
  <c r="BA81" i="3"/>
  <c r="AZ81" i="3" s="1"/>
  <c r="BA85" i="3"/>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15"/>
  <c r="Q71" i="67"/>
  <c r="F64" i="15"/>
  <c r="F71" i="67"/>
  <c r="B13" i="70"/>
  <c r="M7" i="67"/>
  <c r="F50" i="67"/>
  <c r="F68" i="67"/>
  <c r="F64" i="67"/>
  <c r="F68" i="15"/>
  <c r="C36" i="68"/>
  <c r="D9" i="69"/>
  <c r="D9" i="68"/>
  <c r="J15" i="15"/>
  <c r="D4" i="73"/>
  <c r="F42" i="67"/>
  <c r="D3" i="73"/>
  <c r="D5" i="73"/>
  <c r="M29" i="15"/>
  <c r="F9" i="15"/>
  <c r="F42" i="15"/>
  <c r="F8" i="15"/>
  <c r="F6" i="15"/>
  <c r="M23" i="15"/>
  <c r="M8" i="15"/>
  <c r="F26" i="15"/>
  <c r="M28" i="15"/>
  <c r="F7" i="15"/>
  <c r="M6" i="67"/>
  <c r="F43" i="15"/>
  <c r="C16" i="67"/>
  <c r="F38" i="67"/>
  <c r="M26" i="15"/>
  <c r="F16" i="15"/>
  <c r="L48" i="15"/>
  <c r="F37" i="15"/>
  <c r="M6" i="15"/>
  <c r="M24" i="67"/>
  <c r="F26" i="67"/>
  <c r="M9" i="15"/>
  <c r="D7" i="73"/>
  <c r="C76" i="15"/>
  <c r="L47" i="15"/>
  <c r="L47" i="67"/>
  <c r="D6" i="73"/>
  <c r="AB38" i="40" l="1"/>
  <c r="U38" i="40"/>
  <c r="AC23" i="36"/>
  <c r="W23" i="36"/>
  <c r="AZ107" i="3"/>
  <c r="AZ26" i="3"/>
  <c r="AZ36" i="3"/>
  <c r="AZ145" i="3"/>
  <c r="AZ292" i="3"/>
  <c r="AZ161" i="3"/>
  <c r="AZ333" i="3"/>
  <c r="AZ108" i="3"/>
  <c r="AZ75" i="3"/>
  <c r="AZ55" i="3"/>
  <c r="AZ54" i="3"/>
  <c r="AZ38" i="3"/>
  <c r="AZ298" i="3"/>
  <c r="AZ368" i="3"/>
  <c r="AZ471" i="3"/>
  <c r="AZ425" i="3"/>
  <c r="AZ408" i="3"/>
  <c r="AZ465" i="3"/>
  <c r="AZ403" i="3"/>
  <c r="AZ512" i="3"/>
  <c r="AZ121" i="3"/>
  <c r="AC9" i="36"/>
  <c r="W9" i="36"/>
  <c r="AZ247" i="3"/>
  <c r="C52" i="71"/>
  <c r="D51" i="71"/>
  <c r="AA23" i="36"/>
  <c r="S23" i="36"/>
  <c r="AC34" i="36"/>
  <c r="AZ85" i="3"/>
  <c r="AZ117" i="3"/>
  <c r="AZ253" i="3"/>
  <c r="AZ19" i="3"/>
  <c r="AZ182" i="3"/>
  <c r="C31" i="71"/>
  <c r="AZ240" i="3"/>
  <c r="AZ197" i="3"/>
  <c r="AZ153" i="3"/>
  <c r="AZ248" i="3"/>
  <c r="AZ186" i="3"/>
  <c r="AZ437" i="3"/>
  <c r="AZ552" i="3"/>
  <c r="T60" i="71"/>
  <c r="D60" i="71"/>
  <c r="AC38" i="40"/>
  <c r="W38" i="40"/>
  <c r="S45" i="39"/>
  <c r="AA45" i="39"/>
  <c r="AB23" i="36"/>
  <c r="U23" i="36"/>
  <c r="AZ521" i="3"/>
  <c r="AZ525" i="3"/>
  <c r="AZ23" i="3"/>
  <c r="AZ138" i="3"/>
  <c r="AZ114" i="3"/>
  <c r="AZ279" i="3"/>
  <c r="AZ266" i="3"/>
  <c r="AZ213" i="3"/>
  <c r="AZ86" i="3"/>
  <c r="AZ51" i="3"/>
  <c r="AZ181" i="3"/>
  <c r="AZ205" i="3"/>
  <c r="AZ278" i="3"/>
  <c r="AZ130" i="3"/>
  <c r="AZ244" i="3"/>
  <c r="AZ239" i="3"/>
  <c r="AZ275" i="3"/>
  <c r="AZ421" i="3"/>
  <c r="AZ411" i="3"/>
  <c r="AZ233" i="3"/>
  <c r="AZ210" i="3"/>
  <c r="AZ219" i="3"/>
  <c r="AZ530" i="3"/>
  <c r="AZ466" i="3"/>
  <c r="AA38" i="40"/>
  <c r="S38" i="40"/>
  <c r="U45" i="39"/>
  <c r="AB45" i="39"/>
  <c r="AC23" i="35"/>
  <c r="W23" i="35"/>
  <c r="S25" i="39"/>
  <c r="S21" i="39"/>
  <c r="W25" i="39"/>
  <c r="U25" i="39"/>
  <c r="C30" i="68"/>
  <c r="J7" i="36"/>
  <c r="C13" i="12"/>
  <c r="C48" i="68"/>
  <c r="C28" i="15"/>
  <c r="C28" i="67"/>
  <c r="F71" i="15"/>
  <c r="F50" i="15"/>
  <c r="M7" i="15"/>
  <c r="J6" i="15" s="1"/>
  <c r="J18" i="15" s="1"/>
  <c r="S23" i="1"/>
  <c r="V22" i="1"/>
  <c r="U22" i="1"/>
  <c r="AP6" i="1"/>
  <c r="C36" i="69" s="1"/>
  <c r="V21" i="1"/>
  <c r="E59" i="40"/>
  <c r="AB35" i="39"/>
  <c r="U35" i="39"/>
  <c r="C30" i="11"/>
  <c r="G26" i="43"/>
  <c r="N370" i="46"/>
  <c r="N94" i="46"/>
  <c r="J26" i="43"/>
  <c r="F26" i="43"/>
  <c r="E26" i="43"/>
  <c r="G16" i="1"/>
  <c r="F10" i="39" s="1"/>
  <c r="S10" i="39" s="1"/>
  <c r="C65" i="40"/>
  <c r="C27" i="67"/>
  <c r="Q71" i="15"/>
  <c r="F51" i="15"/>
  <c r="L59" i="15"/>
  <c r="Q74" i="15" s="1"/>
  <c r="N59" i="15"/>
  <c r="L58" i="15"/>
  <c r="Q73" i="15" s="1"/>
  <c r="M59" i="15"/>
  <c r="L58" i="67"/>
  <c r="Q60" i="67" s="1"/>
  <c r="N59" i="67"/>
  <c r="M59" i="67"/>
  <c r="L59" i="67"/>
  <c r="Q74" i="67" s="1"/>
  <c r="F65" i="15"/>
  <c r="J57" i="15"/>
  <c r="J55" i="15" s="1"/>
  <c r="J58" i="15" s="1"/>
  <c r="Q50" i="15" s="1"/>
  <c r="I54" i="15"/>
  <c r="J53" i="15"/>
  <c r="L56" i="15" s="1"/>
  <c r="C27" i="15"/>
  <c r="F66" i="67"/>
  <c r="C6" i="15"/>
  <c r="C32" i="15" s="1"/>
  <c r="F31" i="15"/>
  <c r="J6" i="67"/>
  <c r="J18" i="67" s="1"/>
  <c r="C36" i="71"/>
  <c r="D35" i="71"/>
  <c r="C86" i="71"/>
  <c r="D86" i="71" s="1"/>
  <c r="D87" i="71"/>
  <c r="C82" i="71"/>
  <c r="D82" i="71" s="1"/>
  <c r="D83" i="71"/>
  <c r="U12" i="36"/>
  <c r="AB12" i="36"/>
  <c r="AC31" i="40"/>
  <c r="W31" i="40"/>
  <c r="U33" i="40"/>
  <c r="AB33" i="40"/>
  <c r="U13" i="39"/>
  <c r="AB13" i="39"/>
  <c r="AB47" i="34"/>
  <c r="U47" i="34"/>
  <c r="AC31" i="21"/>
  <c r="W31" i="21"/>
  <c r="S36" i="35"/>
  <c r="AA36" i="35"/>
  <c r="AZ288" i="3"/>
  <c r="AZ264" i="3"/>
  <c r="F28" i="6"/>
  <c r="C44" i="71"/>
  <c r="D43" i="71"/>
  <c r="T28" i="71"/>
  <c r="D28" i="71"/>
  <c r="U28" i="71" s="1"/>
  <c r="C27" i="71"/>
  <c r="D31" i="71"/>
  <c r="C32" i="71"/>
  <c r="AZ102" i="3"/>
  <c r="C70" i="71"/>
  <c r="D70" i="71" s="1"/>
  <c r="D71" i="71"/>
  <c r="C78" i="71"/>
  <c r="D78" i="71" s="1"/>
  <c r="D79" i="71"/>
  <c r="N65" i="71"/>
  <c r="N66" i="71"/>
  <c r="AZ282" i="3"/>
  <c r="AZ20" i="3"/>
  <c r="AZ178" i="3"/>
  <c r="AZ353" i="3"/>
  <c r="AZ397" i="3"/>
  <c r="AZ550" i="3"/>
  <c r="AZ422" i="3"/>
  <c r="AC12" i="36"/>
  <c r="W12" i="36"/>
  <c r="AA44" i="39"/>
  <c r="S44" i="39"/>
  <c r="S31" i="40"/>
  <c r="AA31" i="40"/>
  <c r="U13" i="36"/>
  <c r="AB13" i="36"/>
  <c r="S33" i="40"/>
  <c r="AA33" i="40"/>
  <c r="AA13" i="34"/>
  <c r="S13" i="34"/>
  <c r="AZ539" i="3"/>
  <c r="AB9" i="33"/>
  <c r="U9" i="33"/>
  <c r="AB30" i="21"/>
  <c r="U30" i="21"/>
  <c r="AZ531" i="3"/>
  <c r="AZ503" i="3"/>
  <c r="AZ527" i="3"/>
  <c r="AB36" i="35"/>
  <c r="U36" i="35"/>
  <c r="Q65" i="71"/>
  <c r="AZ170" i="3"/>
  <c r="AZ285" i="3"/>
  <c r="AZ474" i="3"/>
  <c r="W36" i="35"/>
  <c r="O65" i="71"/>
  <c r="D66" i="71"/>
  <c r="O66" i="71"/>
  <c r="AZ198" i="3"/>
  <c r="AZ173" i="3"/>
  <c r="C40" i="71"/>
  <c r="D39" i="71"/>
  <c r="AZ25" i="3"/>
  <c r="AZ31" i="3"/>
  <c r="AZ150" i="3"/>
  <c r="AZ294" i="3"/>
  <c r="AZ237" i="3"/>
  <c r="AZ137" i="3"/>
  <c r="AZ297" i="3"/>
  <c r="AZ241" i="3"/>
  <c r="AZ28" i="3"/>
  <c r="AZ118" i="3"/>
  <c r="AZ249" i="3"/>
  <c r="AZ453" i="3"/>
  <c r="AZ432" i="3"/>
  <c r="AZ417" i="3"/>
  <c r="AZ332" i="3"/>
  <c r="W12" i="35"/>
  <c r="AC12" i="35"/>
  <c r="AB24" i="36"/>
  <c r="U24" i="36"/>
  <c r="AC25" i="36"/>
  <c r="W25" i="36"/>
  <c r="W33" i="40"/>
  <c r="AC33" i="40"/>
  <c r="AC13" i="34"/>
  <c r="W13" i="34"/>
  <c r="S30" i="21"/>
  <c r="AA30" i="21"/>
  <c r="AZ540" i="3"/>
  <c r="AZ548" i="3"/>
  <c r="G5" i="3"/>
  <c r="B3" i="3" s="1"/>
  <c r="AP6" i="3" s="1"/>
  <c r="AZ113" i="3"/>
  <c r="AZ317" i="3"/>
  <c r="AZ110" i="3"/>
  <c r="AZ105" i="3"/>
  <c r="AZ59" i="3"/>
  <c r="AZ273" i="3"/>
  <c r="AZ45" i="3"/>
  <c r="AZ27" i="3"/>
  <c r="AA25" i="37"/>
  <c r="S25" i="37"/>
  <c r="U39" i="37"/>
  <c r="AB39" i="37"/>
  <c r="AC24" i="36"/>
  <c r="W24" i="36"/>
  <c r="AA13" i="39"/>
  <c r="S13" i="39"/>
  <c r="S47" i="34"/>
  <c r="AA47" i="34"/>
  <c r="AB31" i="21"/>
  <c r="U31" i="21"/>
  <c r="AZ586" i="3"/>
  <c r="AZ510" i="3"/>
  <c r="AZ513" i="3"/>
  <c r="J7" i="37"/>
  <c r="W7" i="37" s="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D5" i="43"/>
  <c r="C7" i="43"/>
  <c r="C5" i="43" s="1"/>
  <c r="B7" i="74"/>
  <c r="F59" i="67"/>
  <c r="H7" i="37"/>
  <c r="AB7" i="37" s="1"/>
  <c r="T42" i="37" s="1"/>
  <c r="G42" i="37" s="1"/>
  <c r="H7" i="33"/>
  <c r="J7" i="33"/>
  <c r="D65" i="40"/>
  <c r="E63" i="40"/>
  <c r="F48" i="35"/>
  <c r="AA7" i="36"/>
  <c r="R36" i="36" s="1"/>
  <c r="AC7" i="37"/>
  <c r="F7" i="33"/>
  <c r="E58" i="21"/>
  <c r="AC7" i="36"/>
  <c r="V36" i="36" s="1"/>
  <c r="I36" i="36" s="1"/>
  <c r="W7" i="36"/>
  <c r="F7" i="37"/>
  <c r="M17" i="67"/>
  <c r="M17" i="15"/>
  <c r="P28" i="43"/>
  <c r="B66" i="40" s="1"/>
  <c r="P25" i="43"/>
  <c r="C49" i="67"/>
  <c r="P29" i="43"/>
  <c r="P27" i="43"/>
  <c r="B70" i="39" s="1"/>
  <c r="C32" i="67"/>
  <c r="M11" i="67"/>
  <c r="J10" i="67" s="1"/>
  <c r="F11" i="15"/>
  <c r="M11" i="15"/>
  <c r="J10" i="15" s="1"/>
  <c r="F11" i="67"/>
  <c r="F1" i="67"/>
  <c r="Q52" i="67"/>
  <c r="AE11" i="1"/>
  <c r="AE9" i="1"/>
  <c r="F27" i="68"/>
  <c r="AE7" i="1"/>
  <c r="AE8" i="1"/>
  <c r="AE12" i="1"/>
  <c r="AE10" i="1"/>
  <c r="C16" i="15"/>
  <c r="G1" i="73"/>
  <c r="F41" i="67"/>
  <c r="T52" i="71" l="1"/>
  <c r="D52" i="71"/>
  <c r="C49" i="15"/>
  <c r="S24" i="1"/>
  <c r="U23" i="1"/>
  <c r="E573" i="3"/>
  <c r="E514" i="3"/>
  <c r="E229" i="3"/>
  <c r="K6" i="3"/>
  <c r="E430" i="3"/>
  <c r="E487" i="3"/>
  <c r="E322" i="3"/>
  <c r="E175" i="3"/>
  <c r="E385" i="3"/>
  <c r="E77" i="3"/>
  <c r="E330" i="3"/>
  <c r="E171" i="3"/>
  <c r="AS6" i="3"/>
  <c r="E574" i="3"/>
  <c r="E275" i="3"/>
  <c r="E28" i="3"/>
  <c r="AR6" i="3"/>
  <c r="E245" i="3"/>
  <c r="E475" i="3"/>
  <c r="E278" i="3"/>
  <c r="E327" i="3"/>
  <c r="E91" i="3"/>
  <c r="E351" i="3"/>
  <c r="E121" i="3"/>
  <c r="E259" i="3"/>
  <c r="E94" i="3"/>
  <c r="E219" i="3"/>
  <c r="E483" i="3"/>
  <c r="E246" i="3"/>
  <c r="E535" i="3"/>
  <c r="AB6" i="3"/>
  <c r="AJ6" i="3"/>
  <c r="E211" i="3"/>
  <c r="Z6" i="3"/>
  <c r="E315" i="3"/>
  <c r="E465" i="3"/>
  <c r="E568" i="3"/>
  <c r="E134" i="3"/>
  <c r="E231" i="3"/>
  <c r="E305" i="3"/>
  <c r="E447" i="3"/>
  <c r="E549" i="3"/>
  <c r="E458" i="3"/>
  <c r="E336" i="3"/>
  <c r="E294" i="3"/>
  <c r="E316" i="3"/>
  <c r="E496" i="3"/>
  <c r="E304" i="3"/>
  <c r="E145" i="3"/>
  <c r="E504" i="3"/>
  <c r="E490" i="3"/>
  <c r="E378" i="3"/>
  <c r="E248" i="3"/>
  <c r="E132" i="3"/>
  <c r="E191" i="3"/>
  <c r="E69" i="3"/>
  <c r="E311" i="3"/>
  <c r="E109" i="3"/>
  <c r="E531" i="3"/>
  <c r="E204" i="3"/>
  <c r="E454" i="3"/>
  <c r="E133" i="3"/>
  <c r="E124" i="3"/>
  <c r="E528" i="3"/>
  <c r="E533" i="3"/>
  <c r="E384" i="3"/>
  <c r="E515" i="3"/>
  <c r="E72" i="3"/>
  <c r="E45" i="3"/>
  <c r="E550" i="3"/>
  <c r="E516" i="3"/>
  <c r="E448" i="3"/>
  <c r="E303" i="3"/>
  <c r="E29" i="3"/>
  <c r="E288" i="3"/>
  <c r="E155" i="3"/>
  <c r="E139" i="3"/>
  <c r="E369" i="3"/>
  <c r="E200" i="3"/>
  <c r="E135" i="3"/>
  <c r="E335" i="3"/>
  <c r="E579" i="3"/>
  <c r="E572" i="3"/>
  <c r="E345" i="3"/>
  <c r="E74" i="3"/>
  <c r="E587" i="3"/>
  <c r="E228" i="3"/>
  <c r="E586" i="3"/>
  <c r="E185" i="3"/>
  <c r="E410" i="3"/>
  <c r="E27" i="3"/>
  <c r="E271" i="3"/>
  <c r="E450" i="3"/>
  <c r="E583" i="3"/>
  <c r="E230" i="3"/>
  <c r="N6" i="3"/>
  <c r="E580" i="3"/>
  <c r="E302" i="3"/>
  <c r="E92" i="3"/>
  <c r="E82" i="3"/>
  <c r="E365" i="3"/>
  <c r="E131" i="3"/>
  <c r="E148" i="3"/>
  <c r="AI6" i="3"/>
  <c r="E172" i="3"/>
  <c r="E387" i="3"/>
  <c r="E247" i="3"/>
  <c r="E217" i="3"/>
  <c r="E182" i="3"/>
  <c r="E400" i="3"/>
  <c r="E227" i="3"/>
  <c r="E106" i="3"/>
  <c r="E406" i="3"/>
  <c r="E545" i="3"/>
  <c r="E495" i="3"/>
  <c r="E503" i="3"/>
  <c r="E561" i="3"/>
  <c r="E388" i="3"/>
  <c r="E331" i="3"/>
  <c r="E478" i="3"/>
  <c r="E318" i="3"/>
  <c r="E571" i="3"/>
  <c r="E314" i="3"/>
  <c r="E117" i="3"/>
  <c r="E551" i="3"/>
  <c r="E30" i="3"/>
  <c r="E164" i="3"/>
  <c r="E262" i="3"/>
  <c r="E97" i="3"/>
  <c r="E548" i="3"/>
  <c r="E474" i="3"/>
  <c r="E584" i="3"/>
  <c r="E16" i="3"/>
  <c r="E118" i="3"/>
  <c r="E296" i="3"/>
  <c r="E100" i="3"/>
  <c r="E263" i="3"/>
  <c r="E445" i="3"/>
  <c r="E189" i="3"/>
  <c r="E570" i="3"/>
  <c r="E431" i="3"/>
  <c r="E268" i="3"/>
  <c r="E273" i="3"/>
  <c r="E489" i="3"/>
  <c r="E485" i="3"/>
  <c r="E368" i="3"/>
  <c r="E214" i="3"/>
  <c r="E468" i="3"/>
  <c r="E560" i="3"/>
  <c r="AK6" i="3"/>
  <c r="E347" i="3"/>
  <c r="E301" i="3"/>
  <c r="E361" i="3"/>
  <c r="E380" i="3"/>
  <c r="E337" i="3"/>
  <c r="E530" i="3"/>
  <c r="E210" i="3"/>
  <c r="E477" i="3"/>
  <c r="E269" i="3"/>
  <c r="E150" i="3"/>
  <c r="E527" i="3"/>
  <c r="E99" i="3"/>
  <c r="E578" i="3"/>
  <c r="E114" i="3"/>
  <c r="E559" i="3"/>
  <c r="E553" i="3"/>
  <c r="E558" i="3"/>
  <c r="E203" i="3"/>
  <c r="E156" i="3"/>
  <c r="E506" i="3"/>
  <c r="E317" i="3"/>
  <c r="E93" i="3"/>
  <c r="E136" i="3"/>
  <c r="Y6" i="3"/>
  <c r="E48" i="3"/>
  <c r="E346" i="3"/>
  <c r="E67" i="3"/>
  <c r="AZ5" i="3"/>
  <c r="AY6" i="3" s="1"/>
  <c r="E488" i="3"/>
  <c r="E297" i="3"/>
  <c r="E123" i="3"/>
  <c r="E205" i="3"/>
  <c r="E453" i="3"/>
  <c r="E382" i="3"/>
  <c r="E395" i="3"/>
  <c r="V6" i="3"/>
  <c r="E396" i="3"/>
  <c r="E366" i="3"/>
  <c r="E444" i="3"/>
  <c r="E236" i="3"/>
  <c r="E424" i="3"/>
  <c r="AN6" i="3"/>
  <c r="E298" i="3"/>
  <c r="E153" i="3"/>
  <c r="E547" i="3"/>
  <c r="E257" i="3"/>
  <c r="E224" i="3"/>
  <c r="E154" i="3"/>
  <c r="E374" i="3"/>
  <c r="E312" i="3"/>
  <c r="E137" i="3"/>
  <c r="E104" i="3"/>
  <c r="E142" i="3"/>
  <c r="E240" i="3"/>
  <c r="E242" i="3"/>
  <c r="E119" i="3"/>
  <c r="X6" i="3"/>
  <c r="E423" i="3"/>
  <c r="E161" i="3"/>
  <c r="E563" i="3"/>
  <c r="E215" i="3"/>
  <c r="M6" i="3"/>
  <c r="E201" i="3"/>
  <c r="E509" i="3"/>
  <c r="E526" i="3"/>
  <c r="E377" i="3"/>
  <c r="E70" i="3"/>
  <c r="E557" i="3"/>
  <c r="AO6" i="3"/>
  <c r="E89" i="3"/>
  <c r="E362" i="3"/>
  <c r="E146" i="3"/>
  <c r="E577" i="3"/>
  <c r="E472" i="3"/>
  <c r="E277" i="3"/>
  <c r="E181" i="3"/>
  <c r="E399" i="3"/>
  <c r="E350" i="3"/>
  <c r="E180" i="3"/>
  <c r="E261" i="3"/>
  <c r="E439" i="3"/>
  <c r="E143" i="3"/>
  <c r="E508" i="3"/>
  <c r="E441" i="3"/>
  <c r="E162" i="3"/>
  <c r="E505" i="3"/>
  <c r="E585" i="3"/>
  <c r="E31" i="3"/>
  <c r="E111" i="3"/>
  <c r="E562" i="3"/>
  <c r="E193" i="3"/>
  <c r="E85" i="3"/>
  <c r="E293" i="3"/>
  <c r="E290" i="3"/>
  <c r="E415" i="3"/>
  <c r="E320" i="3"/>
  <c r="E151" i="3"/>
  <c r="E239" i="3"/>
  <c r="E125" i="3"/>
  <c r="E166" i="3"/>
  <c r="E581" i="3"/>
  <c r="AG6" i="3"/>
  <c r="E32" i="3"/>
  <c r="E55" i="3"/>
  <c r="E481" i="3"/>
  <c r="E434" i="3"/>
  <c r="E402" i="3"/>
  <c r="E213" i="3"/>
  <c r="E418" i="3"/>
  <c r="E285" i="3"/>
  <c r="E501" i="3"/>
  <c r="E126" i="3"/>
  <c r="E432" i="3"/>
  <c r="E207" i="3"/>
  <c r="E168" i="3"/>
  <c r="E438" i="3"/>
  <c r="E306" i="3"/>
  <c r="E98" i="3"/>
  <c r="E87" i="3"/>
  <c r="E66" i="3"/>
  <c r="E341" i="3"/>
  <c r="E464" i="3"/>
  <c r="E24" i="3"/>
  <c r="E50" i="3"/>
  <c r="E473" i="3"/>
  <c r="E543" i="3"/>
  <c r="E408" i="3"/>
  <c r="E349" i="3"/>
  <c r="E334" i="3"/>
  <c r="E88" i="3"/>
  <c r="P6" i="3"/>
  <c r="E252" i="3"/>
  <c r="E274" i="3"/>
  <c r="E344" i="3"/>
  <c r="E177" i="3"/>
  <c r="AA6" i="3"/>
  <c r="E221" i="3"/>
  <c r="E169" i="3"/>
  <c r="E523" i="3"/>
  <c r="E328" i="3"/>
  <c r="AM6" i="3"/>
  <c r="E546" i="3"/>
  <c r="E379" i="3"/>
  <c r="E14" i="3"/>
  <c r="E471" i="3"/>
  <c r="E313" i="3"/>
  <c r="E122" i="3"/>
  <c r="E187" i="3"/>
  <c r="AD6" i="3"/>
  <c r="E39" i="3"/>
  <c r="E47" i="3"/>
  <c r="E57" i="3"/>
  <c r="E552" i="3"/>
  <c r="E392" i="3"/>
  <c r="E463" i="3"/>
  <c r="E324" i="3"/>
  <c r="E383" i="3"/>
  <c r="J10" i="39"/>
  <c r="W10" i="39" s="1"/>
  <c r="J10" i="40"/>
  <c r="AC10" i="40" s="1"/>
  <c r="E198" i="3"/>
  <c r="J5" i="67"/>
  <c r="J24" i="67" s="1"/>
  <c r="H10" i="40"/>
  <c r="AB10" i="40" s="1"/>
  <c r="F1" i="15"/>
  <c r="AA10" i="39"/>
  <c r="F10" i="40"/>
  <c r="S10" i="40" s="1"/>
  <c r="H10" i="39"/>
  <c r="U10" i="39" s="1"/>
  <c r="D26" i="43"/>
  <c r="C25" i="43" s="1"/>
  <c r="C33" i="43" s="1"/>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3" i="3"/>
  <c r="E202" i="3"/>
  <c r="E401" i="3"/>
  <c r="E440" i="3"/>
  <c r="E393" i="3"/>
  <c r="E326" i="3"/>
  <c r="E78" i="3"/>
  <c r="E420" i="3"/>
  <c r="E456" i="3"/>
  <c r="E287" i="3"/>
  <c r="E174" i="3"/>
  <c r="E309" i="3"/>
  <c r="E371" i="3"/>
  <c r="E258" i="3"/>
  <c r="E575" i="3"/>
  <c r="E19" i="3"/>
  <c r="E138" i="3"/>
  <c r="E500" i="3"/>
  <c r="E51" i="3"/>
  <c r="E521" i="3"/>
  <c r="E460" i="3"/>
  <c r="E101" i="3"/>
  <c r="E176" i="3"/>
  <c r="E340" i="3"/>
  <c r="E52" i="3"/>
  <c r="E299" i="3"/>
  <c r="E38" i="3"/>
  <c r="L6" i="3"/>
  <c r="E178" i="3"/>
  <c r="E498" i="3"/>
  <c r="E486" i="3"/>
  <c r="E105" i="3"/>
  <c r="E370" i="3"/>
  <c r="E428" i="3"/>
  <c r="E13" i="3"/>
  <c r="E534" i="3"/>
  <c r="E102" i="3"/>
  <c r="E482" i="3"/>
  <c r="E63" i="3"/>
  <c r="E160" i="3"/>
  <c r="E417" i="3"/>
  <c r="E539" i="3"/>
  <c r="E582" i="3"/>
  <c r="E284" i="3"/>
  <c r="E446" i="3"/>
  <c r="E421" i="3"/>
  <c r="E250" i="3"/>
  <c r="E58" i="3"/>
  <c r="E398" i="3"/>
  <c r="E524" i="3"/>
  <c r="E62" i="3"/>
  <c r="E147" i="3"/>
  <c r="AQ6" i="3"/>
  <c r="E234" i="3"/>
  <c r="E15" i="3"/>
  <c r="E333" i="3"/>
  <c r="E108" i="3"/>
  <c r="AH6" i="3"/>
  <c r="E427" i="3"/>
  <c r="E223" i="3"/>
  <c r="E49" i="3"/>
  <c r="E225" i="3"/>
  <c r="E360" i="3"/>
  <c r="E173" i="3"/>
  <c r="E206" i="3"/>
  <c r="E391" i="3"/>
  <c r="E355" i="3"/>
  <c r="E409" i="3"/>
  <c r="E212" i="3"/>
  <c r="E536" i="3"/>
  <c r="E442" i="3"/>
  <c r="E554" i="3"/>
  <c r="E95" i="3"/>
  <c r="E389" i="3"/>
  <c r="E64" i="3"/>
  <c r="E310" i="3"/>
  <c r="E233" i="3"/>
  <c r="E81" i="3"/>
  <c r="E494" i="3"/>
  <c r="AL6" i="3"/>
  <c r="E96"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455" i="3"/>
  <c r="E60" i="3"/>
  <c r="E276" i="3"/>
  <c r="E40" i="3"/>
  <c r="J6" i="3"/>
  <c r="E422" i="3"/>
  <c r="E493" i="3"/>
  <c r="E188" i="3"/>
  <c r="E158" i="3"/>
  <c r="E342" i="3"/>
  <c r="E412" i="3"/>
  <c r="E115" i="3"/>
  <c r="E452" i="3"/>
  <c r="E451" i="3"/>
  <c r="E405" i="3"/>
  <c r="E140" i="3"/>
  <c r="E113" i="3"/>
  <c r="E34" i="3"/>
  <c r="E18" i="3"/>
  <c r="E281" i="3"/>
  <c r="E283" i="3"/>
  <c r="E184" i="3"/>
  <c r="E267" i="3"/>
  <c r="E59" i="3"/>
  <c r="E37" i="3"/>
  <c r="E449" i="3"/>
  <c r="E286" i="3"/>
  <c r="E83" i="3"/>
  <c r="E232" i="3"/>
  <c r="E220" i="3"/>
  <c r="E243" i="3"/>
  <c r="E26" i="3"/>
  <c r="E497" i="3"/>
  <c r="E469" i="3"/>
  <c r="E525" i="3"/>
  <c r="E22" i="3"/>
  <c r="E251" i="3"/>
  <c r="E235" i="3"/>
  <c r="E42" i="3"/>
  <c r="E513" i="3"/>
  <c r="E68" i="3"/>
  <c r="E84" i="3"/>
  <c r="E467" i="3"/>
  <c r="E241" i="3"/>
  <c r="E491" i="3"/>
  <c r="E502" i="3"/>
  <c r="Q60" i="15"/>
  <c r="F59" i="15"/>
  <c r="U7" i="36"/>
  <c r="Q61" i="67"/>
  <c r="Q52" i="15"/>
  <c r="F67" i="39"/>
  <c r="F69" i="39" s="1"/>
  <c r="E522" i="3"/>
  <c r="E129" i="3"/>
  <c r="E75" i="3"/>
  <c r="E332" i="3"/>
  <c r="E21" i="3"/>
  <c r="E264" i="3"/>
  <c r="E381" i="3"/>
  <c r="E144" i="3"/>
  <c r="E23" i="3"/>
  <c r="E300" i="3"/>
  <c r="E103" i="3"/>
  <c r="E425" i="3"/>
  <c r="E76" i="3"/>
  <c r="E363" i="3"/>
  <c r="E192" i="3"/>
  <c r="E56" i="3"/>
  <c r="E435" i="3"/>
  <c r="I3" i="6"/>
  <c r="E541" i="3"/>
  <c r="R6" i="3"/>
  <c r="E199" i="3"/>
  <c r="E510" i="3"/>
  <c r="F30" i="6"/>
  <c r="F31" i="6" s="1"/>
  <c r="E28" i="6"/>
  <c r="K26" i="6" s="1"/>
  <c r="M26" i="6" s="1"/>
  <c r="I26" i="6" s="1"/>
  <c r="S26" i="6" s="1"/>
  <c r="D44" i="71"/>
  <c r="T44" i="71"/>
  <c r="Q61" i="15"/>
  <c r="Q73" i="67"/>
  <c r="J5" i="15"/>
  <c r="J24" i="15" s="1"/>
  <c r="E33" i="3"/>
  <c r="E492" i="3"/>
  <c r="E249" i="3"/>
  <c r="E46" i="3"/>
  <c r="E484" i="3"/>
  <c r="E544" i="3"/>
  <c r="E292" i="3"/>
  <c r="E152" i="3"/>
  <c r="E479" i="3"/>
  <c r="E517" i="3"/>
  <c r="E255" i="3"/>
  <c r="E466" i="3"/>
  <c r="E499" i="3"/>
  <c r="T32" i="71"/>
  <c r="D32" i="71"/>
  <c r="C26" i="71"/>
  <c r="D26" i="71" s="1"/>
  <c r="D27" i="71"/>
  <c r="T40" i="71"/>
  <c r="D40"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0" i="6"/>
  <c r="K19" i="6"/>
  <c r="S6" i="1" s="1"/>
  <c r="AY300" i="3"/>
  <c r="AY355" i="3"/>
  <c r="AY112" i="3"/>
  <c r="AY324" i="3"/>
  <c r="AY369" i="3"/>
  <c r="AY531" i="3"/>
  <c r="AY405" i="3"/>
  <c r="AY459" i="3"/>
  <c r="AY537" i="3"/>
  <c r="AY339" i="3"/>
  <c r="BP6" i="3"/>
  <c r="AY143" i="3"/>
  <c r="C39" i="43"/>
  <c r="C42" i="43"/>
  <c r="E42" i="43" s="1"/>
  <c r="C38" i="43"/>
  <c r="U7" i="37"/>
  <c r="G67"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AE6" i="1"/>
  <c r="M27" i="15"/>
  <c r="M27" i="67"/>
  <c r="C48" i="15" l="1"/>
  <c r="C66" i="15" s="1"/>
  <c r="I53" i="34"/>
  <c r="J53" i="34" s="1"/>
  <c r="W10" i="40"/>
  <c r="V23" i="1"/>
  <c r="V24" i="1"/>
  <c r="U24" i="1"/>
  <c r="S25" i="1"/>
  <c r="U10" i="40"/>
  <c r="K24" i="6"/>
  <c r="K25" i="6"/>
  <c r="K21" i="6"/>
  <c r="S8" i="1" s="1"/>
  <c r="E8" i="70" s="1"/>
  <c r="K22" i="6"/>
  <c r="K23" i="6"/>
  <c r="AC10" i="39"/>
  <c r="AY131" i="3"/>
  <c r="AY59" i="3"/>
  <c r="AY401" i="3"/>
  <c r="AY202" i="3"/>
  <c r="AY411" i="3"/>
  <c r="AY171" i="3"/>
  <c r="AY311" i="3"/>
  <c r="AY178" i="3"/>
  <c r="AY57" i="3"/>
  <c r="AY422" i="3"/>
  <c r="AY81" i="3"/>
  <c r="AY229" i="3"/>
  <c r="AY52" i="3"/>
  <c r="AY368" i="3"/>
  <c r="AY48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284" i="3"/>
  <c r="AY125" i="3"/>
  <c r="AY333" i="3"/>
  <c r="AY546" i="3"/>
  <c r="AY444" i="3"/>
  <c r="AY555" i="3"/>
  <c r="AY254" i="3"/>
  <c r="AY393" i="3"/>
  <c r="AY559" i="3"/>
  <c r="AY220" i="3"/>
  <c r="AY557" i="3"/>
  <c r="AY291" i="3"/>
  <c r="AY121" i="3"/>
  <c r="AY572" i="3"/>
  <c r="AY101" i="3"/>
  <c r="AY158" i="3"/>
  <c r="AY234" i="3"/>
  <c r="AY344" i="3"/>
  <c r="AY458" i="3"/>
  <c r="AY506" i="3"/>
  <c r="AY542" i="3"/>
  <c r="AY63" i="3"/>
  <c r="AY135" i="3"/>
  <c r="AY378" i="3"/>
  <c r="AY456" i="3"/>
  <c r="BL6" i="3"/>
  <c r="AY241" i="3"/>
  <c r="AY338" i="3"/>
  <c r="BD6" i="3"/>
  <c r="AY142" i="3"/>
  <c r="AY336" i="3"/>
  <c r="AY17" i="3"/>
  <c r="AY47" i="3"/>
  <c r="AY576" i="3"/>
  <c r="AY272" i="3"/>
  <c r="AY15" i="3"/>
  <c r="AY476" i="3"/>
  <c r="AY515" i="3"/>
  <c r="AY485" i="3"/>
  <c r="AY371" i="3"/>
  <c r="AY76" i="3"/>
  <c r="AY259" i="3"/>
  <c r="AY571" i="3"/>
  <c r="AY486" i="3"/>
  <c r="BO6" i="3"/>
  <c r="AY239" i="3"/>
  <c r="AY226" i="3"/>
  <c r="AY518" i="3"/>
  <c r="AY147" i="3"/>
  <c r="AY417" i="3"/>
  <c r="AY134" i="3"/>
  <c r="AY161" i="3"/>
  <c r="AY580"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84" i="3"/>
  <c r="AY383" i="3"/>
  <c r="AY267" i="3"/>
  <c r="AY172" i="3"/>
  <c r="AY351" i="3"/>
  <c r="AY461" i="3"/>
  <c r="D3" i="6"/>
  <c r="C14" i="74" s="1"/>
  <c r="AY129" i="3"/>
  <c r="AY373" i="3"/>
  <c r="AY18" i="3"/>
  <c r="E3" i="6"/>
  <c r="AY500" i="3"/>
  <c r="AY235" i="3"/>
  <c r="AY280" i="3"/>
  <c r="AY410" i="3"/>
  <c r="AY80" i="3"/>
  <c r="AY84" i="3"/>
  <c r="AY93" i="3"/>
  <c r="AY472" i="3"/>
  <c r="AY54" i="3"/>
  <c r="AY402" i="3"/>
  <c r="AY22" i="3"/>
  <c r="AY213" i="3"/>
  <c r="AY331" i="3"/>
  <c r="AY454" i="3"/>
  <c r="AY361" i="3"/>
  <c r="AY482" i="3"/>
  <c r="AY159" i="3"/>
  <c r="AY443" i="3"/>
  <c r="AY265" i="3"/>
  <c r="AY64" i="3"/>
  <c r="AY140" i="3"/>
  <c r="AY504" i="3"/>
  <c r="AY86" i="3"/>
  <c r="AY35" i="3"/>
  <c r="AY487" i="3"/>
  <c r="AY584" i="3"/>
  <c r="AY116" i="3"/>
  <c r="AY182" i="3"/>
  <c r="AY374" i="3"/>
  <c r="E6" i="6"/>
  <c r="D10" i="11" s="1"/>
  <c r="C10" i="11" s="1"/>
  <c r="AC6" i="3"/>
  <c r="M18" i="9"/>
  <c r="B118" i="9" s="1"/>
  <c r="AY581" i="3"/>
  <c r="AY457" i="3"/>
  <c r="AY317" i="3"/>
  <c r="AY274" i="3"/>
  <c r="AY197" i="3"/>
  <c r="BH6" i="3"/>
  <c r="AY278" i="3"/>
  <c r="AY33" i="3"/>
  <c r="AY544" i="3"/>
  <c r="AY217" i="3"/>
  <c r="AY319" i="3"/>
  <c r="AY103" i="3"/>
  <c r="AY83" i="3"/>
  <c r="AY87" i="3"/>
  <c r="AY207"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AY176"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34"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219" i="3"/>
  <c r="AY165" i="3"/>
  <c r="AY92" i="3"/>
  <c r="AY463" i="3"/>
  <c r="AY529" i="3"/>
  <c r="AY183" i="3"/>
  <c r="AY268" i="3"/>
  <c r="AY144"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262" i="3"/>
  <c r="AY185" i="3"/>
  <c r="BE6" i="3"/>
  <c r="AY327" i="3"/>
  <c r="AY460" i="3"/>
  <c r="AY160" i="3"/>
  <c r="AY58" i="3"/>
  <c r="AY66" i="3"/>
  <c r="AY155" i="3"/>
  <c r="AY23" i="3"/>
  <c r="AA10" i="40"/>
  <c r="AB10" i="39"/>
  <c r="H6" i="3"/>
  <c r="D116" i="43"/>
  <c r="F25" i="12"/>
  <c r="C26" i="12" s="1"/>
  <c r="D25" i="12" s="1"/>
  <c r="I46" i="37"/>
  <c r="J46" i="37" s="1"/>
  <c r="F22" i="68"/>
  <c r="K14" i="1"/>
  <c r="C34" i="69" s="1"/>
  <c r="E30" i="6"/>
  <c r="E31" i="6" s="1"/>
  <c r="F22" i="11"/>
  <c r="C23" i="11" s="1"/>
  <c r="F24" i="67"/>
  <c r="C24" i="67" s="1"/>
  <c r="F24" i="15"/>
  <c r="C24" i="15" s="1"/>
  <c r="F22" i="69"/>
  <c r="F41" i="69" s="1"/>
  <c r="E49" i="34"/>
  <c r="I54" i="34" s="1"/>
  <c r="J54" i="34" s="1"/>
  <c r="O36" i="43"/>
  <c r="Q36" i="43"/>
  <c r="N36" i="43"/>
  <c r="M36" i="43"/>
  <c r="P36" i="43"/>
  <c r="C17" i="71"/>
  <c r="D18" i="71"/>
  <c r="P37" i="43"/>
  <c r="M37" i="43"/>
  <c r="Q37" i="43"/>
  <c r="O37" i="43"/>
  <c r="N37" i="43"/>
  <c r="E6" i="70"/>
  <c r="C34" i="43"/>
  <c r="E34" i="43" s="1"/>
  <c r="E33" i="43"/>
  <c r="M24" i="6"/>
  <c r="I24" i="6" s="1"/>
  <c r="S24" i="6" s="1"/>
  <c r="S11" i="1"/>
  <c r="E11" i="70" s="1"/>
  <c r="M22" i="6"/>
  <c r="I22" i="6" s="1"/>
  <c r="S22" i="6" s="1"/>
  <c r="S9" i="1"/>
  <c r="T8" i="1"/>
  <c r="M20" i="6"/>
  <c r="I20" i="6" s="1"/>
  <c r="S20" i="6" s="1"/>
  <c r="S7" i="1"/>
  <c r="E7" i="70" s="1"/>
  <c r="AQ6" i="1"/>
  <c r="AR6" i="1"/>
  <c r="T6" i="1"/>
  <c r="M23" i="6"/>
  <c r="I23" i="6" s="1"/>
  <c r="S23" i="6" s="1"/>
  <c r="S10" i="1"/>
  <c r="E10" i="70" s="1"/>
  <c r="M25" i="6"/>
  <c r="I25" i="6" s="1"/>
  <c r="S25" i="6" s="1"/>
  <c r="S12" i="1"/>
  <c r="M19"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4" i="67"/>
  <c r="C17" i="67"/>
  <c r="C17" i="15"/>
  <c r="F41" i="15"/>
  <c r="D3" i="34" l="1"/>
  <c r="B14" i="74"/>
  <c r="B1" i="74" s="1"/>
  <c r="E61" i="40"/>
  <c r="D8" i="6"/>
  <c r="D24" i="6"/>
  <c r="D19" i="6"/>
  <c r="D25" i="6"/>
  <c r="D12" i="6"/>
  <c r="D10" i="6"/>
  <c r="F69" i="15"/>
  <c r="U25" i="1"/>
  <c r="S26" i="1"/>
  <c r="S27" i="1" s="1"/>
  <c r="AQ8" i="1"/>
  <c r="K27" i="6"/>
  <c r="M21" i="6"/>
  <c r="I21" i="6" s="1"/>
  <c r="S21" i="6" s="1"/>
  <c r="AR8" i="1"/>
  <c r="E6" i="3"/>
  <c r="D15" i="6"/>
  <c r="C17" i="4"/>
  <c r="B4" i="52" s="1"/>
  <c r="B43" i="72" s="1"/>
  <c r="D19" i="11"/>
  <c r="C19" i="11" s="1"/>
  <c r="C20" i="11" s="1"/>
  <c r="C28" i="11" s="1"/>
  <c r="C27" i="11" s="1"/>
  <c r="D28" i="6"/>
  <c r="D20" i="12"/>
  <c r="C20" i="12" s="1"/>
  <c r="D13" i="6"/>
  <c r="D6" i="6"/>
  <c r="L18" i="9"/>
  <c r="D3" i="33"/>
  <c r="D10" i="69"/>
  <c r="C10" i="69" s="1"/>
  <c r="C8" i="69" s="1"/>
  <c r="C5" i="69" s="1"/>
  <c r="D5" i="6"/>
  <c r="H21" i="6"/>
  <c r="D9" i="6"/>
  <c r="D26" i="6"/>
  <c r="D21" i="6"/>
  <c r="D23" i="6"/>
  <c r="D29" i="6"/>
  <c r="M19" i="9"/>
  <c r="C118" i="9" s="1"/>
  <c r="B2" i="74" s="1"/>
  <c r="D22" i="6"/>
  <c r="H26" i="6"/>
  <c r="D11" i="6"/>
  <c r="C18" i="4"/>
  <c r="A10" i="51" s="1"/>
  <c r="B9" i="72" s="1"/>
  <c r="L19" i="9"/>
  <c r="D14" i="6"/>
  <c r="D20" i="6"/>
  <c r="D3" i="21"/>
  <c r="D14" i="12"/>
  <c r="D17" i="12" s="1"/>
  <c r="C17" i="12" s="1"/>
  <c r="D37" i="11"/>
  <c r="D3" i="37"/>
  <c r="H24" i="6"/>
  <c r="H22" i="6"/>
  <c r="R22" i="6" s="1"/>
  <c r="R9" i="1" s="1"/>
  <c r="H25" i="6"/>
  <c r="C44" i="68"/>
  <c r="D41" i="68" s="1"/>
  <c r="C44" i="11"/>
  <c r="D41" i="11" s="1"/>
  <c r="C26" i="68"/>
  <c r="D22" i="68" s="1"/>
  <c r="F41" i="68"/>
  <c r="C26" i="11"/>
  <c r="D22" i="11" s="1"/>
  <c r="K16" i="1"/>
  <c r="M14" i="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D8" i="74"/>
  <c r="D7" i="74"/>
  <c r="C4" i="52"/>
  <c r="B45"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D16" i="6" l="1"/>
  <c r="R24" i="6"/>
  <c r="R11" i="1" s="1"/>
  <c r="R25" i="6"/>
  <c r="R12" i="1" s="1"/>
  <c r="U26" i="1"/>
  <c r="U27" i="1" s="1"/>
  <c r="R27" i="1" s="1"/>
  <c r="V26" i="1"/>
  <c r="V25" i="1"/>
  <c r="D19" i="69"/>
  <c r="C19" i="69" s="1"/>
  <c r="C24" i="69" s="1"/>
  <c r="R26" i="6"/>
  <c r="R21" i="6"/>
  <c r="R8" i="1" s="1"/>
  <c r="D27" i="6"/>
  <c r="D30" i="6"/>
  <c r="R20" i="6"/>
  <c r="R7" i="1" s="1"/>
  <c r="C18" i="12"/>
  <c r="O14" i="1"/>
  <c r="O16" i="1" s="1"/>
  <c r="M16" i="1"/>
  <c r="C34" i="11" s="1"/>
  <c r="C22" i="11"/>
  <c r="C31" i="11" s="1"/>
  <c r="C15" i="71"/>
  <c r="T16" i="71"/>
  <c r="D16" i="71"/>
  <c r="U16" i="71" s="1"/>
  <c r="C19" i="67"/>
  <c r="C20" i="67" s="1"/>
  <c r="C26" i="67" s="1"/>
  <c r="T16" i="1"/>
  <c r="C18" i="15"/>
  <c r="C15" i="15"/>
  <c r="C36" i="11"/>
  <c r="C37" i="11"/>
  <c r="C23" i="12"/>
  <c r="C14" i="12"/>
  <c r="H19" i="6"/>
  <c r="S19" i="6"/>
  <c r="S27" i="6" s="1"/>
  <c r="I27" i="6"/>
  <c r="C19" i="68"/>
  <c r="D37" i="68"/>
  <c r="C37" i="68" s="1"/>
  <c r="C23" i="69"/>
  <c r="E2" i="76"/>
  <c r="B2" i="76"/>
  <c r="I69" i="39"/>
  <c r="J67" i="39"/>
  <c r="I63" i="40"/>
  <c r="H65" i="40"/>
  <c r="I58" i="21"/>
  <c r="J58" i="21" s="1"/>
  <c r="K58" i="21" s="1"/>
  <c r="L58" i="21" s="1"/>
  <c r="M58" i="21" s="1"/>
  <c r="N58" i="21" s="1"/>
  <c r="O58" i="21" s="1"/>
  <c r="H7" i="21" s="1"/>
  <c r="J48" i="35"/>
  <c r="V27" i="1" l="1"/>
  <c r="T27" i="1" s="1"/>
  <c r="D37" i="69"/>
  <c r="C37" i="69" s="1"/>
  <c r="C33" i="69" s="1"/>
  <c r="C39" i="69" s="1"/>
  <c r="C43" i="69" s="1"/>
  <c r="D31" i="6"/>
  <c r="P14" i="1"/>
  <c r="P16" i="1" s="1"/>
  <c r="C11" i="12" s="1"/>
  <c r="C15" i="12" s="1"/>
  <c r="N16" i="1"/>
  <c r="L16" i="1"/>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B3" i="76"/>
  <c r="J69" i="39"/>
  <c r="K67" i="39"/>
  <c r="U7" i="21"/>
  <c r="AB7" i="21"/>
  <c r="T48" i="21" s="1"/>
  <c r="G48" i="21" s="1"/>
  <c r="J63" i="40"/>
  <c r="I65" i="40"/>
  <c r="K48" i="35"/>
  <c r="L48" i="35" s="1"/>
  <c r="M48" i="35" s="1"/>
  <c r="N48" i="35" s="1"/>
  <c r="O48" i="35" s="1"/>
  <c r="H7" i="35" s="1"/>
  <c r="C42" i="69" l="1"/>
  <c r="C41" i="69" s="1"/>
  <c r="I5" i="6"/>
  <c r="I6" i="6"/>
  <c r="C11" i="39" s="1"/>
  <c r="C12" i="12"/>
  <c r="C16" i="12" s="1"/>
  <c r="C21" i="12" s="1"/>
  <c r="C22" i="12" s="1"/>
  <c r="F50" i="11"/>
  <c r="F50" i="69"/>
  <c r="F50" i="68"/>
  <c r="C35" i="68"/>
  <c r="C38" i="68"/>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67"/>
  <c r="M21" i="15"/>
  <c r="F35" i="67"/>
  <c r="F35" i="15"/>
  <c r="F11" i="39" l="1"/>
  <c r="H11" i="39"/>
  <c r="J11" i="39"/>
  <c r="C30" i="12"/>
  <c r="C28" i="12" s="1"/>
  <c r="C27" i="12"/>
  <c r="C25" i="12" s="1"/>
  <c r="C33" i="68"/>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W11" i="39" l="1"/>
  <c r="AC11" i="39"/>
  <c r="AB11" i="39"/>
  <c r="U11" i="39"/>
  <c r="AA11" i="39"/>
  <c r="S11" i="39"/>
  <c r="I42" i="35"/>
  <c r="J42" i="35" s="1"/>
  <c r="C32" i="12"/>
  <c r="B2" i="12" s="1"/>
  <c r="B3" i="12" s="1"/>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1" i="68"/>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D2" i="33"/>
  <c r="C39" i="15" l="1"/>
  <c r="Q69" i="15" s="1"/>
  <c r="Q68" i="15" s="1"/>
  <c r="H33" i="15"/>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1" i="1"/>
  <c r="AO10" i="1"/>
  <c r="AO7" i="1"/>
  <c r="AO8" i="1"/>
  <c r="AO12" i="1"/>
  <c r="R48" i="39" l="1"/>
  <c r="C47" i="39" s="1"/>
  <c r="C7" i="71"/>
  <c r="D8"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H109" i="9"/>
  <c r="H110" i="9" s="1"/>
  <c r="C31" i="68" l="1"/>
  <c r="C52" i="68" s="1"/>
  <c r="B2" i="68" s="1"/>
  <c r="D18" i="53"/>
  <c r="B35" i="72" s="1"/>
  <c r="C7" i="74"/>
  <c r="D16" i="53"/>
  <c r="D124" i="9"/>
  <c r="C19" i="9"/>
  <c r="C57" i="68" l="1"/>
  <c r="C56" i="68" s="1"/>
  <c r="C102" i="9"/>
  <c r="C21" i="9"/>
  <c r="G19" i="9"/>
  <c r="D22" i="9"/>
  <c r="B3" i="68"/>
  <c r="D125" i="9"/>
  <c r="D11" i="52" s="1"/>
  <c r="D10" i="52"/>
  <c r="B34" i="72"/>
  <c r="D17" i="53"/>
  <c r="B36" i="72" s="1"/>
  <c r="D34" i="9"/>
  <c r="D35" i="9"/>
  <c r="C20" i="9"/>
  <c r="G21" i="9" l="1"/>
  <c r="D14" i="74"/>
  <c r="G14" i="74" s="1"/>
  <c r="B6" i="74" s="1"/>
  <c r="D6" i="74" s="1"/>
  <c r="C103" i="9"/>
  <c r="G20" i="9"/>
  <c r="C32" i="9" s="1"/>
  <c r="C35" i="9" s="1"/>
  <c r="C34" i="9" s="1"/>
  <c r="E14" i="74" l="1"/>
  <c r="B5" i="74"/>
  <c r="D5" i="74" s="1"/>
  <c r="F14" i="74"/>
  <c r="I118" i="9"/>
  <c r="H118" i="9" s="1"/>
  <c r="H119" i="9" l="1"/>
  <c r="H5" i="52" s="1"/>
  <c r="C104" i="9"/>
  <c r="H4" i="52"/>
  <c r="H101" i="9"/>
  <c r="H107" i="9" s="1"/>
  <c r="G118" i="9"/>
  <c r="H102" i="9"/>
  <c r="C105" i="9"/>
  <c r="I4" i="52"/>
  <c r="M48" i="9" l="1"/>
  <c r="D45" i="9"/>
  <c r="C78" i="9" s="1"/>
  <c r="C73" i="9" s="1"/>
  <c r="D5" i="53"/>
  <c r="D6" i="53" s="1"/>
  <c r="B22" i="72" s="1"/>
  <c r="G4" i="52"/>
  <c r="B52" i="72" s="1"/>
  <c r="F118" i="9"/>
  <c r="E118" i="9"/>
  <c r="H108" i="9"/>
  <c r="M49" i="9"/>
  <c r="D13" i="53"/>
  <c r="D122" i="9"/>
  <c r="C5" i="74"/>
  <c r="D7" i="53"/>
  <c r="B21" i="72" s="1"/>
  <c r="C93" i="9" l="1"/>
  <c r="C86" i="9" s="1"/>
  <c r="D55" i="9"/>
  <c r="M53" i="9" s="1"/>
  <c r="C85" i="9"/>
  <c r="B20" i="72"/>
  <c r="D53" i="9"/>
  <c r="D52" i="9"/>
  <c r="C72" i="9"/>
  <c r="C79" i="9" s="1"/>
  <c r="C80" i="9" s="1"/>
  <c r="E80" i="9" s="1"/>
  <c r="E81" i="9" s="1"/>
  <c r="C64" i="9"/>
  <c r="C63" i="9" s="1"/>
  <c r="C67" i="9" s="1"/>
  <c r="C68" i="9" s="1"/>
  <c r="D54" i="9" s="1"/>
  <c r="E4" i="52"/>
  <c r="B48" i="72" s="1"/>
  <c r="D118" i="9"/>
  <c r="F4" i="52"/>
  <c r="B51" i="72" s="1"/>
  <c r="F119" i="9"/>
  <c r="F5" i="52" s="1"/>
  <c r="B53" i="72" s="1"/>
  <c r="L66" i="9"/>
  <c r="M66" i="9" s="1"/>
  <c r="L68" i="9"/>
  <c r="M68" i="9" s="1"/>
  <c r="L64" i="9"/>
  <c r="M64" i="9" s="1"/>
  <c r="L65" i="9"/>
  <c r="M65" i="9" s="1"/>
  <c r="L67" i="9"/>
  <c r="M67" i="9" s="1"/>
  <c r="L63" i="9"/>
  <c r="M63" i="9" s="1"/>
  <c r="D15" i="53"/>
  <c r="B31" i="72" s="1"/>
  <c r="C6" i="74"/>
  <c r="D14" i="53"/>
  <c r="B32" i="72" s="1"/>
  <c r="B30" i="72"/>
  <c r="D123" i="9"/>
  <c r="D9" i="52" s="1"/>
  <c r="D8" i="52"/>
  <c r="C95" i="9" l="1"/>
  <c r="C96" i="9" s="1"/>
  <c r="E96" i="9" s="1"/>
  <c r="E97" i="9" s="1"/>
  <c r="D59" i="9"/>
  <c r="M55" i="9" s="1"/>
  <c r="D4" i="52"/>
  <c r="B47" i="72" s="1"/>
  <c r="D119" i="9"/>
  <c r="D5" i="52" s="1"/>
  <c r="B49" i="72" s="1"/>
  <c r="C81" i="9"/>
  <c r="M69" i="9"/>
  <c r="N69" i="9" s="1"/>
  <c r="C97" i="9"/>
  <c r="D58" i="9" s="1"/>
  <c r="D56" i="9" s="1"/>
  <c r="M54" i="9" s="1"/>
  <c r="N57" i="9" l="1"/>
  <c r="P57" i="9" s="1"/>
  <c r="N59" i="9" l="1"/>
  <c r="N60" i="9" s="1"/>
  <c r="N58"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在建项目均选择“是”</t>
        </r>
      </text>
    </comment>
    <comment ref="F59" authorId="1" shapeId="0" xr:uid="{00000000-0006-0000-2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200-000006000000}">
      <text>
        <r>
          <rPr>
            <sz val="10"/>
            <color indexed="81"/>
            <rFont val="宋体"/>
            <family val="3"/>
            <charset val="134"/>
          </rPr>
          <t xml:space="preserve">在建
</t>
        </r>
      </text>
    </comment>
    <comment ref="N59" authorId="0" shapeId="0" xr:uid="{00000000-0006-0000-22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<sst xmlns="http://schemas.openxmlformats.org/spreadsheetml/2006/main" count="8360" uniqueCount="3754">
  <si>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</si>
  <si>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</si>
  <si>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</si>
  <si>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</si>
  <si>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</si>
  <si>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</si>
  <si>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</si>
  <si>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</si>
  <si>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</si>
  <si>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</si>
  <si>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</si>
  <si>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</si>
  <si>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</si>
  <si>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</si>
  <si>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</si>
  <si>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</si>
  <si>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</si>
  <si>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</si>
  <si>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</si>
  <si>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</si>
  <si>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</si>
  <si>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</si>
  <si>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</si>
  <si>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</si>
  <si>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</si>
  <si>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</si>
  <si>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</si>
  <si>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</si>
  <si>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</si>
  <si>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</si>
  <si>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</si>
  <si>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</si>
  <si>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</si>
  <si>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</si>
  <si>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</si>
  <si>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</si>
  <si>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</si>
  <si>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</si>
  <si>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</si>
  <si>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</si>
  <si>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</si>
  <si>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</si>
  <si>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</si>
  <si>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</si>
  <si>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</si>
  <si>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</si>
  <si>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</si>
  <si>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</si>
  <si>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</si>
  <si>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</si>
  <si>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</si>
  <si>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</si>
  <si>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</si>
  <si>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</si>
  <si>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</si>
  <si>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</si>
  <si>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</si>
  <si>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</si>
  <si>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</si>
  <si>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</si>
  <si>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</si>
  <si>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</si>
  <si>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</si>
  <si>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</si>
  <si>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</si>
  <si>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</si>
  <si>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</si>
  <si>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</si>
  <si>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</si>
  <si>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</si>
  <si>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</si>
  <si>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</si>
  <si>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</si>
  <si>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</si>
  <si>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</si>
  <si>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</si>
  <si>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</si>
  <si>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</si>
  <si>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</si>
  <si>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</si>
  <si>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</si>
  <si>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</si>
  <si>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</si>
  <si>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</si>
  <si>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</si>
  <si>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</si>
  <si>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</si>
  <si>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</si>
  <si>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</si>
  <si>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</si>
  <si>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</si>
  <si>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</si>
  <si>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</si>
  <si>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</si>
  <si>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</si>
  <si>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</si>
  <si>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</si>
  <si>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</si>
  <si>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</si>
  <si>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</si>
  <si>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</si>
  <si>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</si>
  <si>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</si>
  <si>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</si>
  <si>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</si>
  <si>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</si>
  <si>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</si>
  <si>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</si>
  <si>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</si>
  <si>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</si>
  <si>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</si>
  <si>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</si>
  <si>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</si>
  <si>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</si>
  <si>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</si>
  <si>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</si>
  <si>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</si>
  <si>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</si>
  <si>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</si>
  <si>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</si>
  <si>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</si>
  <si>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</si>
  <si>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</si>
  <si>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</si>
  <si>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</si>
  <si>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</si>
  <si>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</si>
  <si>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</si>
  <si>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</si>
  <si>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</si>
  <si>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</si>
  <si>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</si>
  <si>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</si>
  <si>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</si>
  <si>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</si>
  <si>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</si>
  <si>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</si>
  <si>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</si>
  <si>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</si>
  <si>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</si>
  <si>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</si>
  <si>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</si>
  <si>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</si>
  <si>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</si>
  <si>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</si>
  <si>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</si>
  <si>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</si>
  <si>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</si>
  <si>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</si>
  <si>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</si>
  <si>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</si>
  <si>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</si>
  <si>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</si>
  <si>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</si>
  <si>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</si>
  <si>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</si>
  <si>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</si>
  <si>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</si>
  <si>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</si>
  <si>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</si>
  <si>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</si>
  <si>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</si>
  <si>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</si>
  <si>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</si>
  <si>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</si>
  <si>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</si>
  <si>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</si>
  <si>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</si>
  <si>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</si>
  <si>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</si>
  <si>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</si>
  <si>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</si>
  <si>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</si>
  <si>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</si>
  <si>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</si>
  <si>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</si>
  <si>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</si>
  <si>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</si>
  <si>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</si>
  <si>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</si>
  <si>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</si>
  <si>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</si>
  <si>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</si>
  <si>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</si>
  <si>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</si>
  <si>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</si>
  <si>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</si>
  <si>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</si>
  <si>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</si>
  <si>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</si>
  <si>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</si>
  <si>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</si>
  <si>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</si>
  <si>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</si>
  <si>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</si>
  <si>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</si>
  <si>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</si>
  <si>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</si>
  <si>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</si>
  <si>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</si>
  <si>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</si>
  <si>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</si>
  <si>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</si>
  <si>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</si>
  <si>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</si>
  <si>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</si>
  <si>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</si>
  <si>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</si>
  <si>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</si>
  <si>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</si>
  <si>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</si>
  <si>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</si>
  <si>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</si>
  <si>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</si>
  <si>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</si>
  <si>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</si>
  <si>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</si>
  <si>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</si>
  <si>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</si>
  <si>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</si>
  <si>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</si>
  <si>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</si>
  <si>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</si>
  <si>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</si>
  <si>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</si>
  <si>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</si>
  <si>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</si>
  <si>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</si>
  <si>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</si>
  <si>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</si>
  <si>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</si>
  <si>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</si>
  <si>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</si>
  <si>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</si>
  <si>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</si>
  <si>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</si>
  <si>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</si>
  <si>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</si>
  <si>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</si>
  <si>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</si>
  <si>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</si>
  <si>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</si>
  <si>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</si>
  <si>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</si>
  <si>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</si>
  <si>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</si>
  <si>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</si>
  <si>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</si>
  <si>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</si>
  <si>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</si>
  <si>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</si>
  <si>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</si>
  <si>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</si>
  <si>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</si>
  <si>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</si>
  <si>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</si>
  <si>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</si>
  <si>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</si>
  <si>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</si>
  <si>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</si>
  <si>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</si>
  <si>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</si>
  <si>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</si>
  <si>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</si>
  <si>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</si>
  <si>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</si>
  <si>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</si>
  <si>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</si>
  <si>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</si>
  <si>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</si>
  <si>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</si>
  <si>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</si>
  <si>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</si>
  <si>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</si>
  <si>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</si>
  <si>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</si>
  <si>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</si>
  <si>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</si>
  <si>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</si>
  <si>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</si>
  <si>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</si>
  <si>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</si>
  <si>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</si>
  <si>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</si>
  <si>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</si>
  <si>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</si>
  <si>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</si>
  <si>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</si>
  <si>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</si>
  <si>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</si>
  <si>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</si>
  <si>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</si>
  <si>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</si>
  <si>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</si>
  <si>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</si>
  <si>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</si>
  <si>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</si>
  <si>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</si>
  <si>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</si>
  <si>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</si>
  <si>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</si>
  <si>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</si>
  <si>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</si>
  <si>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</si>
  <si>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</si>
  <si>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</si>
  <si>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</si>
  <si>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</si>
  <si>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</si>
  <si>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</si>
  <si>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</si>
  <si>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</si>
  <si>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</si>
  <si>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</si>
  <si>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</si>
  <si>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</si>
  <si>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</si>
  <si>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</si>
  <si>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</si>
  <si>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</si>
  <si>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</si>
  <si>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</si>
  <si>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</si>
  <si>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</si>
  <si>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</si>
  <si>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</si>
  <si>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</si>
  <si>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</si>
  <si>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</si>
  <si>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</si>
  <si>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</si>
  <si>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</si>
  <si>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</si>
  <si>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</si>
  <si>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</si>
  <si>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</si>
  <si>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</si>
  <si>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</si>
  <si>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</si>
  <si>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</si>
  <si>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</si>
  <si>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</si>
  <si>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</si>
  <si>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</si>
  <si>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</si>
  <si>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</si>
  <si>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</si>
  <si>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</si>
  <si>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</si>
  <si>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</si>
  <si>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</si>
  <si>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</si>
  <si>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</si>
  <si>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</si>
  <si>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</si>
  <si>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</si>
  <si>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</si>
  <si>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</si>
  <si>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</si>
  <si>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</si>
  <si>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</si>
  <si>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</si>
  <si>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</si>
  <si>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</si>
  <si>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</si>
  <si>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</si>
  <si>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</si>
  <si>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</si>
  <si>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</si>
  <si>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</si>
  <si>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</si>
  <si>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</si>
  <si>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</si>
  <si>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</si>
  <si>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</si>
  <si>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</si>
  <si>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</si>
  <si>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</si>
  <si>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</si>
  <si>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</si>
  <si>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</si>
  <si>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</si>
  <si>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</si>
  <si>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</si>
  <si>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</si>
  <si>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</si>
  <si>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</si>
  <si>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</si>
  <si>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</si>
  <si>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</si>
  <si>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</si>
  <si>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</si>
  <si>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</si>
  <si>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</si>
  <si>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</si>
  <si>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</si>
  <si>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</si>
  <si>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</si>
  <si>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</si>
  <si>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</si>
  <si>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</si>
  <si>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</si>
  <si>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</si>
  <si>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</si>
  <si>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</si>
  <si>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</si>
  <si>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</si>
  <si>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</si>
  <si>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</si>
  <si>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</si>
  <si>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</si>
  <si>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</si>
  <si>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</si>
  <si>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</si>
  <si>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</si>
  <si>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</si>
  <si>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</si>
  <si>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</si>
  <si>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</si>
  <si>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</si>
  <si>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</si>
  <si>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</si>
  <si>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</si>
  <si>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</si>
  <si>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</si>
  <si>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</si>
  <si>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</si>
  <si>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</si>
  <si>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</si>
  <si>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</si>
  <si>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</si>
  <si>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</si>
  <si>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</si>
  <si>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</si>
  <si>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</si>
  <si>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</si>
  <si>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</si>
  <si>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</si>
  <si>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</si>
  <si>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</si>
  <si>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</si>
  <si>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</si>
  <si>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</si>
  <si>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</si>
  <si>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</si>
  <si>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</si>
  <si>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</si>
  <si>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</si>
  <si>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</si>
  <si>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</si>
  <si>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</si>
  <si>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</si>
  <si>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</si>
  <si>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</si>
  <si>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</si>
  <si>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</si>
  <si>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</si>
  <si>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</si>
  <si>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</si>
  <si>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</si>
  <si>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</si>
  <si>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</si>
  <si>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</si>
  <si>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</si>
  <si>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</si>
  <si>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</si>
  <si>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</si>
  <si>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</si>
  <si>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</si>
  <si>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</si>
  <si>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</si>
  <si>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</si>
  <si>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</si>
  <si>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</si>
  <si>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</si>
  <si>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</si>
  <si>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</si>
  <si>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</si>
  <si>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</si>
  <si>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</si>
  <si>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</si>
  <si>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</si>
  <si>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</si>
  <si>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</si>
  <si>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</si>
  <si>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</si>
  <si>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</si>
  <si>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</si>
  <si>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</si>
  <si>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</si>
  <si>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</si>
  <si>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</si>
  <si>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</si>
  <si>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</si>
  <si>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</si>
  <si>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</si>
  <si>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</si>
  <si>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</si>
  <si>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</si>
  <si>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</si>
  <si>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</si>
  <si>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</si>
  <si>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</si>
  <si>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</si>
  <si>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</si>
  <si>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</si>
  <si>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</si>
  <si>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</si>
  <si>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</si>
  <si>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</si>
  <si>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</si>
  <si>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</si>
  <si>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</si>
  <si>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</si>
  <si>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</si>
  <si>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</si>
  <si>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</si>
  <si>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</si>
  <si>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</si>
  <si>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</si>
  <si>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</si>
  <si>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</si>
  <si>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</si>
  <si>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</si>
  <si>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</si>
  <si>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</si>
  <si>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</si>
  <si>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</si>
  <si>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</si>
  <si>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</si>
  <si>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</si>
  <si>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</si>
  <si>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</si>
  <si>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</si>
  <si>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</si>
  <si>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</si>
  <si>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</si>
  <si>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</si>
  <si>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</si>
  <si>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</si>
  <si>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</si>
  <si>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</si>
  <si>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</si>
  <si>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</si>
  <si>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</si>
  <si>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</si>
  <si>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</si>
  <si>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</si>
  <si>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</si>
  <si>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</si>
  <si>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</si>
  <si>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</si>
  <si>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</si>
  <si>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</si>
  <si>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</si>
  <si>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</si>
  <si>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</si>
  <si>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</si>
  <si>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</si>
  <si>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</si>
  <si>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</si>
  <si>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</si>
  <si>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</si>
  <si>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</si>
  <si>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</si>
  <si>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</si>
  <si>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</si>
  <si>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</si>
  <si>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</si>
  <si>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</si>
  <si>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</si>
  <si>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</si>
  <si>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</si>
  <si>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</si>
  <si>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</si>
  <si>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</si>
  <si>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</si>
  <si>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</si>
  <si>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</si>
  <si>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</si>
  <si>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</si>
  <si>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</si>
  <si>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</si>
  <si>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</si>
  <si>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</si>
  <si>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</si>
  <si>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</si>
  <si>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</si>
  <si>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</si>
  <si>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</si>
  <si>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</si>
  <si>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</si>
  <si>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</si>
  <si>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</si>
  <si>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</si>
  <si>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</si>
  <si>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</si>
  <si>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</si>
  <si>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</si>
  <si>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</si>
  <si>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</si>
  <si>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</si>
  <si>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</si>
  <si>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</si>
  <si>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</si>
  <si>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</si>
  <si>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</si>
  <si>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</si>
  <si>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</si>
  <si>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</si>
  <si>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</si>
  <si>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</si>
  <si>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</si>
  <si>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</si>
  <si>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</si>
  <si>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</si>
  <si>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</si>
  <si>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</si>
  <si>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</si>
  <si>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</si>
  <si>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</si>
  <si>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</si>
  <si>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</si>
  <si>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</si>
  <si>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</si>
  <si>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</si>
  <si>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</si>
  <si>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</si>
  <si>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</si>
  <si>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</si>
  <si>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</si>
  <si>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</si>
  <si>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</si>
  <si>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</si>
  <si>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</si>
  <si>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</si>
  <si>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</si>
  <si>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</si>
  <si>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</si>
  <si>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</si>
  <si>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</si>
  <si>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</si>
  <si>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</si>
  <si>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</si>
  <si>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</si>
  <si>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</si>
  <si>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</si>
  <si>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</si>
  <si>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</si>
  <si>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</si>
  <si>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</si>
  <si>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</si>
  <si>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</si>
  <si>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</si>
  <si>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</si>
  <si>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</si>
  <si>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</si>
  <si>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</si>
  <si>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</si>
  <si>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</si>
  <si>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</si>
  <si>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</si>
  <si>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</si>
  <si>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</si>
  <si>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</si>
  <si>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</si>
  <si>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</si>
  <si>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</si>
  <si>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</si>
  <si>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</si>
  <si>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</si>
  <si>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</si>
  <si>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</si>
  <si>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</si>
  <si>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</si>
  <si>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</si>
  <si>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</si>
  <si>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</si>
  <si>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</si>
  <si>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</si>
  <si>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</si>
  <si>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</si>
  <si>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</si>
  <si>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</si>
  <si>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</si>
  <si>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</si>
  <si>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</si>
  <si>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</si>
  <si>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</si>
  <si>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</si>
  <si>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</si>
  <si>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</si>
  <si>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</si>
  <si>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</si>
  <si>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</si>
  <si>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</si>
  <si>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</si>
  <si>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</si>
  <si>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</si>
  <si>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</si>
  <si>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</si>
  <si>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</si>
  <si>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</si>
  <si>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</si>
  <si>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</si>
  <si>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</si>
  <si>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</si>
  <si>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</si>
  <si>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</si>
  <si>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</si>
  <si>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</si>
  <si>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</si>
  <si>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</si>
  <si>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</si>
  <si>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</si>
  <si>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</si>
  <si>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</si>
  <si>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</si>
  <si>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</si>
  <si>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</si>
  <si>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</si>
  <si>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</si>
  <si>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</si>
  <si>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</si>
  <si>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</si>
  <si>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</si>
  <si>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</si>
  <si>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</si>
  <si>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</si>
  <si>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</si>
  <si>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</si>
  <si>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</si>
  <si>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</si>
  <si>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</si>
  <si>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</si>
  <si>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</si>
  <si>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</si>
  <si>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</si>
  <si>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</si>
  <si>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</si>
  <si>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</si>
  <si>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</si>
  <si>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</si>
  <si>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</si>
  <si>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</si>
  <si>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</si>
  <si>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</si>
  <si>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</si>
  <si>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</si>
  <si>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</si>
  <si>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</si>
  <si>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</si>
  <si>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</si>
  <si>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</si>
  <si>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</si>
  <si>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</si>
  <si>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</si>
  <si>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</si>
  <si>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</si>
  <si>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</si>
  <si>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</si>
  <si>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</si>
  <si>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</si>
  <si>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</si>
  <si>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</si>
  <si>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</si>
  <si>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</si>
  <si>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</si>
  <si>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</si>
  <si>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</si>
  <si>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</si>
  <si>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</si>
  <si>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</si>
  <si>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</si>
  <si>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</si>
  <si>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</si>
  <si>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</si>
  <si>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</si>
  <si>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</si>
  <si>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</si>
  <si>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</si>
  <si>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</si>
  <si>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</si>
  <si>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</si>
  <si>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</si>
  <si>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</si>
  <si>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</si>
  <si>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</si>
  <si>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</si>
  <si>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</si>
  <si>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</si>
  <si>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</si>
  <si>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</si>
  <si>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</si>
  <si>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</si>
  <si>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</si>
  <si>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</si>
  <si>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</si>
  <si>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</si>
  <si>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</si>
  <si>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</si>
  <si>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</si>
  <si>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</si>
  <si>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</si>
  <si>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</si>
  <si>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</si>
  <si>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</si>
  <si>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</si>
  <si>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</si>
  <si>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</si>
  <si>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</si>
  <si>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</si>
  <si>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</si>
  <si>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</si>
  <si>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</si>
  <si>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</si>
  <si>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</si>
  <si>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</si>
  <si>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</si>
  <si>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</si>
  <si>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</si>
  <si>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</si>
  <si>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</si>
  <si>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</si>
  <si>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</si>
  <si>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</si>
  <si>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</si>
  <si>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</si>
  <si>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</si>
  <si>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</si>
  <si>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</si>
  <si>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</si>
  <si>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</si>
  <si>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</si>
  <si>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</si>
  <si>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</si>
  <si>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</si>
  <si>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</si>
  <si>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</si>
  <si>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</si>
  <si>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</si>
  <si>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</si>
  <si>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</si>
  <si>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</si>
  <si>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</si>
  <si>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</si>
  <si>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</si>
  <si>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</si>
  <si>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</si>
  <si>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</si>
  <si>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</si>
  <si>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</si>
  <si>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</si>
  <si>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</si>
  <si>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</si>
  <si>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</si>
  <si>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</si>
  <si>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</si>
  <si>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</si>
  <si>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</si>
  <si>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</si>
  <si>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</si>
  <si>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</si>
  <si>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</si>
  <si>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</si>
  <si>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</si>
  <si>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</si>
  <si>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</si>
  <si>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</si>
  <si>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</si>
  <si>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</si>
  <si>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</si>
  <si>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</si>
  <si>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</si>
  <si>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</si>
  <si>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</si>
  <si>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</si>
  <si>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</si>
  <si>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</si>
  <si>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</si>
  <si>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</si>
  <si>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</si>
  <si>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</si>
  <si>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</si>
  <si>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</si>
  <si>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</si>
  <si>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</si>
  <si>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</si>
  <si>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</si>
  <si>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</si>
  <si>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</si>
  <si>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</si>
  <si>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</si>
  <si>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</si>
  <si>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</si>
  <si>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</si>
  <si>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</si>
  <si>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</si>
  <si>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</si>
  <si>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</si>
  <si>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</si>
  <si>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</si>
  <si>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</si>
  <si>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</si>
  <si>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</si>
  <si>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</si>
  <si>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</si>
  <si>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</si>
  <si>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</si>
  <si>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</si>
  <si>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</si>
  <si>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</si>
  <si>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</si>
  <si>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</si>
  <si>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</si>
  <si>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</si>
  <si>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</si>
  <si>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</si>
  <si>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</si>
  <si>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</si>
  <si>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</si>
  <si>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</si>
  <si>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</si>
  <si>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</si>
  <si>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</si>
  <si>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</si>
  <si>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</si>
  <si>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</si>
  <si>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</si>
  <si>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</si>
  <si>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</si>
  <si>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</si>
  <si>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</si>
  <si>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</si>
  <si>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</si>
  <si>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</si>
  <si>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</si>
  <si>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</si>
  <si>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</si>
  <si>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</si>
  <si>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</si>
  <si>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</si>
  <si>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</si>
  <si>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</si>
  <si>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</si>
  <si>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</si>
  <si>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</si>
  <si>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</si>
  <si>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</si>
  <si>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</si>
  <si>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</si>
  <si>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</si>
  <si>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</si>
  <si>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</si>
  <si>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</si>
  <si>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</si>
  <si>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</si>
  <si>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</si>
  <si>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</si>
  <si>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</si>
  <si>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</si>
  <si>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</si>
  <si>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</si>
  <si>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</si>
  <si>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</si>
  <si>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</si>
  <si>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</si>
  <si>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</si>
  <si>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</si>
  <si>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</si>
  <si>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</si>
  <si>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</si>
  <si>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</si>
  <si>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</si>
  <si>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</si>
  <si>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</si>
  <si>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</si>
  <si>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</si>
  <si>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</si>
  <si>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</si>
  <si>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</si>
  <si>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</si>
  <si>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</si>
  <si>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</si>
  <si>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</si>
  <si>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</si>
  <si>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</si>
  <si>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</si>
  <si>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</si>
  <si>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</si>
  <si>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</si>
  <si>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</si>
  <si>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</si>
  <si>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</si>
  <si>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</si>
  <si>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</si>
  <si>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</si>
  <si>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</si>
  <si>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</si>
  <si>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</si>
  <si>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</si>
  <si>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</si>
  <si>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</si>
  <si>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</si>
  <si>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</si>
  <si>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</si>
  <si>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</si>
  <si>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</si>
  <si>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</si>
  <si>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</si>
  <si>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</si>
  <si>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</si>
  <si>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</si>
  <si>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</si>
  <si>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</si>
  <si>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</si>
  <si>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</si>
  <si>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</si>
  <si>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</si>
  <si>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</si>
  <si>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</si>
  <si>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</si>
  <si>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</si>
  <si>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</si>
  <si>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</si>
  <si>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</si>
  <si>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</si>
  <si>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</si>
  <si>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</si>
  <si>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</si>
  <si>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</si>
  <si>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</si>
  <si>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</si>
  <si>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</si>
  <si>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</si>
  <si>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</si>
  <si>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</si>
  <si>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</si>
  <si>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</si>
  <si>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</si>
  <si>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</si>
  <si>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</si>
  <si>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</si>
  <si>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</si>
  <si>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</si>
  <si>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</si>
  <si>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</si>
  <si>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</si>
  <si>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</si>
  <si>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</si>
  <si>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</si>
  <si>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</si>
  <si>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</si>
  <si>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</si>
  <si>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</si>
  <si>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</si>
  <si>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</si>
  <si>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</si>
  <si>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</si>
  <si>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</si>
  <si>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</si>
  <si>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</si>
  <si>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</si>
  <si>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</si>
  <si>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</si>
  <si>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</si>
  <si>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</si>
  <si>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</si>
  <si>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</si>
  <si>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</si>
  <si>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</si>
  <si>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</si>
  <si>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</si>
  <si>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</si>
  <si>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</si>
  <si>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</si>
  <si>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</si>
  <si>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</si>
  <si>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</si>
  <si>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</si>
  <si>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</si>
  <si>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</si>
  <si>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</si>
  <si>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</si>
  <si>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</si>
  <si>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</si>
  <si>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</si>
  <si>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</si>
  <si>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</si>
  <si>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</si>
  <si>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</si>
  <si>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</si>
  <si>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</si>
  <si>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</si>
  <si>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</si>
  <si>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</si>
  <si>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</si>
  <si>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</si>
  <si>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</si>
  <si>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</si>
  <si>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</si>
  <si>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</si>
  <si>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</si>
  <si>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</si>
  <si>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</si>
  <si>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</si>
  <si>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</si>
  <si>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</si>
  <si>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</si>
  <si>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</si>
  <si>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</si>
  <si>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</si>
  <si>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</si>
  <si>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</si>
  <si>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</si>
  <si>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</si>
  <si>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</si>
  <si>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</si>
  <si>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</si>
  <si>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</si>
  <si>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</si>
  <si>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</si>
  <si>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</si>
  <si>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</si>
  <si>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</si>
  <si>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</si>
  <si>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</si>
  <si>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</si>
  <si>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</si>
  <si>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</si>
  <si>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</si>
  <si>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</si>
  <si>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</si>
  <si>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</si>
  <si>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</si>
  <si>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</si>
  <si>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</si>
  <si>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</si>
  <si>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</si>
  <si>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</si>
  <si>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</si>
  <si>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</si>
  <si>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</si>
  <si>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</si>
  <si>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</si>
  <si>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</si>
  <si>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</si>
  <si>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</si>
  <si>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</si>
  <si>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</si>
  <si>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</si>
  <si>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</si>
  <si>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</si>
  <si>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</si>
  <si>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</si>
  <si>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</si>
  <si>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</si>
  <si>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</si>
  <si>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</si>
  <si>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</si>
  <si>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</si>
  <si>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</si>
  <si>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</si>
  <si>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</si>
  <si>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</si>
  <si>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</si>
  <si>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</si>
  <si>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</si>
  <si>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</si>
  <si>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</si>
  <si>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</si>
  <si>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</si>
  <si>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</si>
  <si>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</si>
  <si>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</si>
  <si>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</si>
  <si>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</si>
  <si>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</si>
  <si>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</si>
  <si>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</si>
  <si>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</si>
  <si>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</si>
  <si>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</si>
  <si>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</si>
  <si>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</si>
  <si>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</si>
  <si>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</si>
  <si>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</si>
  <si>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</si>
  <si>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</si>
  <si>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</si>
  <si>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</si>
  <si>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</si>
  <si>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</si>
  <si>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</si>
  <si>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</si>
  <si>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</si>
  <si>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</si>
  <si>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</si>
  <si>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</si>
  <si>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</si>
  <si>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</si>
  <si>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</si>
  <si>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</si>
  <si>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</si>
  <si>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</si>
  <si>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</si>
  <si>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</si>
  <si>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</si>
  <si>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</si>
  <si>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</si>
  <si>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</si>
  <si>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</si>
  <si>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</si>
  <si>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</si>
  <si>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</si>
  <si>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</si>
  <si>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</si>
  <si>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</si>
  <si>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</si>
  <si>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</si>
  <si>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</si>
  <si>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</si>
  <si>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</si>
  <si>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</si>
  <si>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</si>
  <si>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</si>
  <si>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</si>
  <si>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</si>
  <si>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</si>
  <si>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</si>
  <si>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</si>
  <si>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</si>
  <si>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</si>
  <si>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</si>
  <si>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</si>
  <si>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</si>
  <si>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</si>
  <si>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</si>
  <si>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</si>
  <si>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</si>
  <si>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</si>
  <si>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</si>
  <si>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</si>
  <si>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</si>
  <si>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</si>
  <si>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</si>
  <si>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</si>
  <si>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</si>
  <si>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</si>
  <si>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</si>
  <si>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</si>
  <si>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</si>
  <si>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</si>
  <si>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</si>
  <si>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</si>
  <si>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</si>
  <si>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</si>
  <si>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</si>
  <si>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</si>
  <si>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</si>
  <si>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</si>
  <si>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</si>
  <si>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</si>
  <si>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</si>
  <si>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</si>
  <si>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</si>
  <si>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</si>
  <si>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</si>
  <si>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</si>
  <si>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</si>
  <si>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</si>
  <si>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</si>
  <si>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</si>
  <si>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</si>
  <si>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</si>
  <si>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</si>
  <si>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</si>
  <si>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</si>
  <si>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</si>
  <si>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</si>
  <si>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</si>
  <si>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</si>
  <si>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</si>
  <si>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</si>
  <si>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</si>
  <si>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</si>
  <si>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</si>
  <si>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</si>
  <si>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</si>
  <si>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</si>
  <si>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</si>
  <si>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</si>
  <si>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</si>
  <si>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</si>
  <si>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</si>
  <si>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</si>
  <si>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</si>
  <si>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</si>
  <si>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</si>
  <si>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</si>
  <si>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</si>
  <si>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</si>
  <si>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</si>
  <si>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</si>
  <si>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</si>
  <si>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</si>
  <si>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</si>
  <si>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</si>
  <si>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</si>
  <si>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</si>
  <si>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</si>
  <si>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</si>
  <si>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</si>
  <si>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</si>
  <si>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</si>
  <si>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</si>
  <si>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</si>
  <si>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</si>
  <si>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</si>
  <si>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</si>
  <si>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</si>
  <si>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</si>
  <si>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</si>
  <si>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</si>
  <si>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</si>
  <si>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</si>
  <si>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</si>
  <si>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</si>
  <si>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</si>
  <si>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</si>
  <si>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</si>
  <si>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</si>
  <si>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</si>
  <si>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</si>
  <si>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</si>
  <si>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</si>
  <si>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</si>
  <si>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</si>
  <si>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</si>
  <si>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</si>
  <si>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</si>
  <si>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</si>
  <si>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</si>
  <si>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</si>
  <si>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</si>
  <si>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</si>
  <si>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</si>
  <si>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</si>
  <si>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</si>
  <si>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</si>
  <si>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</si>
  <si>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</si>
  <si>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</si>
  <si>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</si>
  <si>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</si>
  <si>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</si>
  <si>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</si>
  <si>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</si>
  <si>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</si>
  <si>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</si>
  <si>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</si>
  <si>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</si>
  <si>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</si>
  <si>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</si>
  <si>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</si>
  <si>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</si>
  <si>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</si>
  <si>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</si>
  <si>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</si>
  <si>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</si>
  <si>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</si>
  <si>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</si>
  <si>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</si>
  <si>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</si>
  <si>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</si>
  <si>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</si>
  <si>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</si>
  <si>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</si>
  <si>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</si>
  <si>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</si>
  <si>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</si>
  <si>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</si>
  <si>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</si>
  <si>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</si>
  <si>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</si>
  <si>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</si>
  <si>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</si>
  <si>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</si>
  <si>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</si>
  <si>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</si>
  <si>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</si>
  <si>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</si>
  <si>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</si>
  <si>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</si>
  <si>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</si>
  <si>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</si>
  <si>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</si>
  <si>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</si>
  <si>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</si>
  <si>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</si>
  <si>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</si>
  <si>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</si>
  <si>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</si>
  <si>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</si>
  <si>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</si>
  <si>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</si>
  <si>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</si>
  <si>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</si>
  <si>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</si>
  <si>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</si>
  <si>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</si>
  <si>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</si>
  <si>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</si>
  <si>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</si>
  <si>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</si>
  <si>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</si>
  <si>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</si>
  <si>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</si>
  <si>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</si>
  <si>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</si>
  <si>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</si>
  <si>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</si>
  <si>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</si>
  <si>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</si>
  <si>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</si>
  <si>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</si>
  <si>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</si>
  <si>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</si>
  <si>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</si>
  <si>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</si>
  <si>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</si>
  <si>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</si>
  <si>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</si>
  <si>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</si>
  <si>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</si>
  <si>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</si>
  <si>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</si>
  <si>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</si>
  <si>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</si>
  <si>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</si>
  <si>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</si>
  <si>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</si>
  <si>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</si>
  <si>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</si>
  <si>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</si>
  <si>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</si>
  <si>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</si>
  <si>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</si>
  <si>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</si>
  <si>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</si>
  <si>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</si>
  <si>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</si>
  <si>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</si>
  <si>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</si>
  <si>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</si>
  <si>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</si>
  <si>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</si>
  <si>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</si>
  <si>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</si>
  <si>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</si>
  <si>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</si>
  <si>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</si>
  <si>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</si>
  <si>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</si>
  <si>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</si>
  <si>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</si>
  <si>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</si>
  <si>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</si>
  <si>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</si>
  <si>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</si>
  <si>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</si>
  <si>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</si>
  <si>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</si>
  <si>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</si>
  <si>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</si>
  <si>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</si>
  <si>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</si>
  <si>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</si>
  <si>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</si>
  <si>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</si>
  <si>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</si>
  <si>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</si>
  <si>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</si>
  <si>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</si>
  <si>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</si>
  <si>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</si>
  <si>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</si>
  <si>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</si>
  <si>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</si>
  <si>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</si>
  <si>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</si>
  <si>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</si>
  <si>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</si>
  <si>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</si>
  <si>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</si>
  <si>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</si>
  <si>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</si>
  <si>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</si>
  <si>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</si>
  <si>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</si>
  <si>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</si>
  <si>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</si>
  <si>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</si>
  <si>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</si>
  <si>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</si>
  <si>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</si>
  <si>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</si>
  <si>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</si>
  <si>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</si>
  <si>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</si>
  <si>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</si>
  <si>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</si>
  <si>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</si>
  <si>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</si>
  <si>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</si>
  <si>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</si>
  <si>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</si>
  <si>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</si>
  <si>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</si>
  <si>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</si>
  <si>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</si>
  <si>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</si>
  <si>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</si>
  <si>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</si>
  <si>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</si>
  <si>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</si>
  <si>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</si>
  <si>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</si>
  <si>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</si>
  <si>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</si>
  <si>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</si>
  <si>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</si>
  <si>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</si>
  <si>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</si>
  <si>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</si>
  <si>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</si>
  <si>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</si>
  <si>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</si>
  <si>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</si>
  <si>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</si>
  <si>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</si>
  <si>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</si>
  <si>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</si>
  <si>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</si>
  <si>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</si>
  <si>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</si>
  <si>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</si>
  <si>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</si>
  <si>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</si>
  <si>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</si>
  <si>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</si>
  <si>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</si>
  <si>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</si>
  <si>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</si>
  <si>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</si>
  <si>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</si>
  <si>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</si>
  <si>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</si>
  <si>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</si>
  <si>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</si>
  <si>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</si>
  <si>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</si>
  <si>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</si>
  <si>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</si>
  <si>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</si>
  <si>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</si>
  <si>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</si>
  <si>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</si>
  <si>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</si>
  <si>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</si>
  <si>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</si>
  <si>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</si>
  <si>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</si>
  <si>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</si>
  <si>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</si>
  <si>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</si>
  <si>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</si>
  <si>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</si>
  <si>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</si>
  <si>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</si>
  <si>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</si>
  <si>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</si>
  <si>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</si>
  <si>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</si>
  <si>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</si>
  <si>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</si>
  <si>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</si>
  <si>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</si>
  <si>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</si>
  <si>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</si>
  <si>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</si>
  <si>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</si>
  <si>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</si>
  <si>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</si>
  <si>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</si>
  <si>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</si>
  <si>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</si>
  <si>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</si>
  <si>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</si>
  <si>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</si>
  <si>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</si>
  <si>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</si>
  <si>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</si>
  <si>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</si>
  <si>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</si>
  <si>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</si>
  <si>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</si>
  <si>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</si>
  <si>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</si>
  <si>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</si>
  <si>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</si>
  <si>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</si>
  <si>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</si>
  <si>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</si>
  <si>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</si>
  <si>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</si>
  <si>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</si>
  <si>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</si>
  <si>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</si>
  <si>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</si>
  <si>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</si>
  <si>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</si>
  <si>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</si>
  <si>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</si>
  <si>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</si>
  <si>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</si>
  <si>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</si>
  <si>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</si>
  <si>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</si>
  <si>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</si>
  <si>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</si>
  <si>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</si>
  <si>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</si>
  <si>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</si>
  <si>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</si>
  <si>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</si>
  <si>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</si>
  <si>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</si>
  <si>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</si>
  <si>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</si>
  <si>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</si>
  <si>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</si>
  <si>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</si>
  <si>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</si>
  <si>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</si>
  <si>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</si>
  <si>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</si>
  <si>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</si>
  <si>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</si>
  <si>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</si>
  <si>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</si>
  <si>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</si>
  <si>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</si>
  <si>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</si>
  <si>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</si>
  <si>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</si>
  <si>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</si>
  <si>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</si>
  <si>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</si>
  <si>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</si>
  <si>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</si>
  <si>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</si>
  <si>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</si>
  <si>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</si>
  <si>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</si>
  <si>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</si>
  <si>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</si>
  <si>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</si>
  <si>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</si>
  <si>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</si>
  <si>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</si>
  <si>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</si>
  <si>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</si>
  <si>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</si>
  <si>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</si>
  <si>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</si>
  <si>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</si>
  <si>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</si>
  <si>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</si>
  <si>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</si>
  <si>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</si>
  <si>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</si>
  <si>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</si>
  <si>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</si>
  <si>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</si>
  <si>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</si>
  <si>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</si>
  <si>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</si>
  <si>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</si>
  <si>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</si>
  <si>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</si>
  <si>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</si>
  <si>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</si>
  <si>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</si>
  <si>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</si>
  <si>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</si>
  <si>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</si>
  <si>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</si>
  <si>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</si>
  <si>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</si>
  <si>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</si>
  <si>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</si>
  <si>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</si>
  <si>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</si>
  <si>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</si>
  <si>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</si>
  <si>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</si>
  <si>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</si>
  <si>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</si>
  <si>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</si>
  <si>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</si>
  <si>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</si>
  <si>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</si>
  <si>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</si>
  <si>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</si>
  <si>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</si>
  <si>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</si>
  <si>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</si>
  <si>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</si>
  <si>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</si>
  <si>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</si>
  <si>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</si>
  <si>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</si>
  <si>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</si>
  <si>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</si>
  <si>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</si>
  <si>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</si>
  <si>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</si>
  <si>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</si>
  <si>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</si>
  <si>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</si>
  <si>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</si>
  <si>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</si>
  <si>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</si>
  <si>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</si>
  <si>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</si>
  <si>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</si>
  <si>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</si>
  <si>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</si>
  <si>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</si>
  <si>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</si>
  <si>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</si>
  <si>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</si>
  <si>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</si>
  <si>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</si>
  <si>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</si>
  <si>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</si>
  <si>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</si>
  <si>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</si>
  <si>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</si>
  <si>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</si>
  <si>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</si>
  <si>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</si>
  <si>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</si>
  <si>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</si>
  <si>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</si>
  <si>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</si>
  <si>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</si>
  <si>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</si>
  <si>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</si>
  <si>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</si>
  <si>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</si>
  <si>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</si>
  <si>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</si>
  <si>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</si>
  <si>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</si>
  <si>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</si>
  <si>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</si>
  <si>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</si>
  <si>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</si>
  <si>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</si>
  <si>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</si>
  <si>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</si>
  <si>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</si>
  <si>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</si>
  <si>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</si>
  <si>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</si>
  <si>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</si>
  <si>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</si>
  <si>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</si>
  <si>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</si>
  <si>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</si>
  <si>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</si>
  <si>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</si>
  <si>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</si>
  <si>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</si>
  <si>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</si>
  <si>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</si>
  <si>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</si>
  <si>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</si>
  <si>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</si>
  <si>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</si>
  <si>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</si>
  <si>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</si>
  <si>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</si>
  <si>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</si>
  <si>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</si>
  <si>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</si>
  <si>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</si>
  <si>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</si>
  <si>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</si>
  <si>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</si>
  <si>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</si>
  <si>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</si>
  <si>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</si>
  <si>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</si>
  <si>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</si>
  <si>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</si>
  <si>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</si>
  <si>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</si>
  <si>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</si>
  <si>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</si>
  <si>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</si>
  <si>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</si>
  <si>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</si>
  <si>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</si>
  <si>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</si>
  <si>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</si>
  <si>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</si>
  <si>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</si>
  <si>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</si>
  <si>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</si>
  <si>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</si>
  <si>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</si>
  <si>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</si>
  <si>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</si>
  <si>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</si>
  <si>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</si>
  <si>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</si>
  <si>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</si>
  <si>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</si>
  <si>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</si>
  <si>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</si>
  <si>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</si>
  <si>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</si>
  <si>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</si>
  <si>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</si>
  <si>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</si>
  <si>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</si>
  <si>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</si>
  <si>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</si>
  <si>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</si>
  <si>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</si>
  <si>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</si>
  <si>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</si>
  <si>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</si>
  <si>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</si>
  <si>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</si>
  <si>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</si>
  <si>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</si>
  <si>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</si>
  <si>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</si>
  <si>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</si>
  <si>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</si>
  <si>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</si>
  <si>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</si>
  <si>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</si>
  <si>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</si>
  <si>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</si>
  <si>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</si>
  <si>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</si>
  <si>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</si>
  <si>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</si>
  <si>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</si>
  <si>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</si>
  <si>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</si>
  <si>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</si>
  <si>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</si>
  <si>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</si>
  <si>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</si>
  <si>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</si>
  <si>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</si>
  <si>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</si>
  <si>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</si>
  <si>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</si>
  <si>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</si>
  <si>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</si>
  <si>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</si>
  <si>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</si>
  <si>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</si>
  <si>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</si>
  <si>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</si>
  <si>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</si>
  <si>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</si>
  <si>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</si>
  <si>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</si>
  <si>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</si>
  <si>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</si>
  <si>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</si>
  <si>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</si>
  <si>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</si>
  <si>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</si>
  <si>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</si>
  <si>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</si>
  <si>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</si>
  <si>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</si>
  <si>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</si>
  <si>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</si>
  <si>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</si>
  <si>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</si>
  <si>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</si>
  <si>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</si>
  <si>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</si>
  <si>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</si>
  <si>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</si>
  <si>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</si>
  <si>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</si>
  <si>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</si>
  <si>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</si>
  <si>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</si>
  <si>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</si>
  <si>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</si>
  <si>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</si>
  <si>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</si>
  <si>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</si>
  <si>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</si>
  <si>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</si>
  <si>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</si>
  <si>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</si>
  <si>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</si>
  <si>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</si>
  <si>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</si>
  <si>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</si>
  <si>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</si>
  <si>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</si>
  <si>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</si>
  <si>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</si>
  <si>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</si>
  <si>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</si>
  <si>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</si>
  <si>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</si>
  <si>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</si>
  <si>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</si>
  <si>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</si>
  <si>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</si>
  <si>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</si>
  <si>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</si>
  <si>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</si>
  <si>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</si>
  <si>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</si>
  <si>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</si>
  <si>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</si>
  <si>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</si>
  <si>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</si>
  <si>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</si>
  <si>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</si>
  <si>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</si>
  <si>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</si>
  <si>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</si>
  <si>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</si>
  <si>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</si>
  <si>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</si>
  <si>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</si>
  <si>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</si>
  <si>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</si>
  <si>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</si>
  <si>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</si>
  <si>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</si>
  <si>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</si>
  <si>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</si>
  <si>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</si>
  <si>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</si>
  <si>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</si>
  <si>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</si>
  <si>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</si>
  <si>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</si>
  <si>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</si>
  <si>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</si>
  <si>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</si>
  <si>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</si>
  <si>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</si>
  <si>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</si>
  <si>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</si>
  <si>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</si>
  <si>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</si>
  <si>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</si>
  <si>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</si>
  <si>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</si>
  <si>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</si>
  <si>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</si>
  <si>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</si>
  <si>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</si>
  <si>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</si>
  <si>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</si>
  <si>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</si>
  <si>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</si>
  <si>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</si>
  <si>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</si>
  <si>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</si>
  <si>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</si>
  <si>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</si>
  <si>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</si>
  <si>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</si>
  <si>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</si>
  <si>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</si>
  <si>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</si>
  <si>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</si>
  <si>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</si>
  <si>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</si>
  <si>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</si>
  <si>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</si>
  <si>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</si>
  <si>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</si>
  <si>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</si>
  <si>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</si>
  <si>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</si>
  <si>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</si>
  <si>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</si>
  <si>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</si>
  <si>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</si>
  <si>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</si>
  <si>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</si>
  <si>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</si>
  <si>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</si>
  <si>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</si>
  <si>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</si>
  <si>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</si>
  <si>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</si>
  <si>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</si>
  <si>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</si>
  <si>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</si>
  <si>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</si>
  <si>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</si>
  <si>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</si>
  <si>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</si>
  <si>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</si>
  <si>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</si>
  <si>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</si>
  <si>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</si>
  <si>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</si>
  <si>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</si>
  <si>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</si>
  <si>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</si>
  <si>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</si>
  <si>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</si>
  <si>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</si>
  <si>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</si>
  <si>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</si>
  <si>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</si>
  <si>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</si>
  <si>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</si>
  <si>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</si>
  <si>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</si>
  <si>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</si>
  <si>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</si>
  <si>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</si>
  <si>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</si>
  <si>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</si>
  <si>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</si>
  <si>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</si>
  <si>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</si>
  <si>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</si>
  <si>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</si>
  <si>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</si>
  <si>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</si>
  <si>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</si>
  <si>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</si>
  <si>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</si>
  <si>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</si>
  <si>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</si>
  <si>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</si>
  <si>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</si>
  <si>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</si>
  <si>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</si>
  <si>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</si>
  <si>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</si>
  <si>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</si>
  <si>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</si>
  <si>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</si>
  <si>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</si>
  <si>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</si>
  <si>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</si>
  <si>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</si>
  <si>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</si>
  <si>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</si>
  <si>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</si>
  <si>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</si>
  <si>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</si>
  <si>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</si>
  <si>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</si>
  <si>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</si>
  <si>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</si>
  <si>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</si>
  <si>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</si>
  <si>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</si>
  <si>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</si>
  <si>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</si>
  <si>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</si>
  <si>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</si>
  <si>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</si>
  <si>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</si>
  <si>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</si>
  <si>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</si>
  <si>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</si>
  <si>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</si>
  <si>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</si>
  <si>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</si>
  <si>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</si>
  <si>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</si>
  <si>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</si>
  <si>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</si>
  <si>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</si>
  <si>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</si>
  <si>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</si>
  <si>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</si>
  <si>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</si>
  <si>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</si>
  <si>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</si>
  <si>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</si>
  <si>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</si>
  <si>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</si>
  <si>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</si>
  <si>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</si>
  <si>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</si>
  <si>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</si>
  <si>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</si>
  <si>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</si>
  <si>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</si>
  <si>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</si>
  <si>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</si>
  <si>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</si>
  <si>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</si>
  <si>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</si>
  <si>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</si>
  <si>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</si>
  <si>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</si>
  <si>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</si>
  <si>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</si>
  <si>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</si>
  <si>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</si>
  <si>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</si>
  <si>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</si>
  <si>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</si>
  <si>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</si>
  <si>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</si>
  <si>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</si>
  <si>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</si>
  <si>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</si>
  <si>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</si>
  <si>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</si>
  <si>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</si>
  <si>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</si>
  <si>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</si>
  <si>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</si>
  <si>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</si>
  <si>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</si>
  <si>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</si>
  <si>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</si>
  <si>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</si>
  <si>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</si>
  <si>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</si>
  <si>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</si>
  <si>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</si>
  <si>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</si>
  <si>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</si>
  <si>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</si>
  <si>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</si>
  <si>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</si>
  <si>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</si>
  <si>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</si>
  <si>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</si>
  <si>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</si>
  <si>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</si>
  <si>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</si>
  <si>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</si>
  <si>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</si>
  <si>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</si>
  <si>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</si>
  <si>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</si>
  <si>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</si>
  <si>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</si>
  <si>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</si>
  <si>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</si>
  <si>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</si>
  <si>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</si>
  <si>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</si>
  <si>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</si>
  <si>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</si>
  <si>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</si>
  <si>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</si>
  <si>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</si>
  <si>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</si>
  <si>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</si>
  <si>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</si>
  <si>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</si>
  <si>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</si>
  <si>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</si>
  <si>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</si>
  <si>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</si>
  <si>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</si>
  <si>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</si>
  <si>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</si>
  <si>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</si>
  <si>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</si>
  <si>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</si>
  <si>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</si>
  <si>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</si>
  <si>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</si>
  <si>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</si>
  <si>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</si>
  <si>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</si>
  <si>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</si>
  <si>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</si>
  <si>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</si>
  <si>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</si>
  <si>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</si>
  <si>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</si>
  <si>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</si>
  <si>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</si>
  <si>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</si>
  <si>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</si>
  <si>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</si>
  <si>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</si>
  <si>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</si>
  <si>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</si>
  <si>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</si>
  <si>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</si>
  <si>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</si>
  <si>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</si>
  <si>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</si>
  <si>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</si>
  <si>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</si>
  <si>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</si>
  <si>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</si>
  <si>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</si>
  <si>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</si>
  <si>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</si>
  <si>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</si>
  <si>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</si>
  <si>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</si>
  <si>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</si>
  <si>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</si>
  <si>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</si>
  <si>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</si>
  <si>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</si>
  <si>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</si>
  <si>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</si>
  <si>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</si>
  <si>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</si>
  <si>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</si>
  <si>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</si>
  <si>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</si>
  <si>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</si>
  <si>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</si>
  <si>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</si>
  <si>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</si>
  <si>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</si>
  <si>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</si>
  <si>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</si>
  <si>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</si>
  <si>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</si>
  <si>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</si>
  <si>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</si>
  <si>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</si>
  <si>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</si>
  <si>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</si>
  <si>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</si>
  <si>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</si>
  <si>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</si>
  <si>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</si>
  <si>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</si>
  <si>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</si>
  <si>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</si>
  <si>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</si>
  <si>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</si>
  <si>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</si>
  <si>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</si>
  <si>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</si>
  <si>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</si>
  <si>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</si>
  <si>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</si>
  <si>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</si>
  <si>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</si>
  <si>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</si>
  <si>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</si>
  <si>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</si>
  <si>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</si>
  <si>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</si>
  <si>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</si>
  <si>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</si>
  <si>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</si>
  <si>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</si>
  <si>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</si>
  <si>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</si>
  <si>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</si>
  <si>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</si>
  <si>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</si>
  <si>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</si>
  <si>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</si>
  <si>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</si>
  <si>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</si>
  <si>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</si>
  <si>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</si>
  <si>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</si>
  <si>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</si>
  <si>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</si>
  <si>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</si>
  <si>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</si>
  <si>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</si>
  <si>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</si>
  <si>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</si>
  <si>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</si>
  <si>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</si>
  <si>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</si>
  <si>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</si>
  <si>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</si>
  <si>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</si>
  <si>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</si>
  <si>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</si>
  <si>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</si>
  <si>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</si>
  <si>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</si>
  <si>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</si>
  <si>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</si>
  <si>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</si>
  <si>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</si>
  <si>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</si>
  <si>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</si>
  <si>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</si>
  <si>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</si>
  <si>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</si>
  <si>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</si>
  <si>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</si>
  <si>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</si>
  <si>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</si>
  <si>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</si>
  <si>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</si>
  <si>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</si>
  <si>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</si>
  <si>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</si>
  <si>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</si>
  <si>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</si>
  <si>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</si>
  <si>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</si>
  <si>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</si>
  <si>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</si>
  <si>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</si>
  <si>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</si>
  <si>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</si>
  <si>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</si>
  <si>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</si>
  <si>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</si>
  <si>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</si>
  <si>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</si>
  <si>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</si>
  <si>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</si>
  <si>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</si>
  <si>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</si>
  <si>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</si>
  <si>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</si>
  <si>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</si>
  <si>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</si>
  <si>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</si>
  <si>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</si>
  <si>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</si>
  <si>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</si>
  <si>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</si>
  <si>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</si>
  <si>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</si>
  <si>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</si>
  <si>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</si>
  <si>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</si>
  <si>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</si>
  <si>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</si>
  <si>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</si>
  <si>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</si>
  <si>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</si>
  <si>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</si>
  <si>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</si>
  <si>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</si>
  <si>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</si>
  <si>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</si>
  <si>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</si>
  <si>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</si>
  <si>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</si>
  <si>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</si>
  <si>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</si>
  <si>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</si>
  <si>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</si>
  <si>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</si>
  <si>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</si>
  <si>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</si>
  <si>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</si>
  <si>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</si>
  <si>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</si>
  <si>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</si>
  <si>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</si>
  <si>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</si>
  <si>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</si>
  <si>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</si>
  <si>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</si>
  <si>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</si>
  <si>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</si>
  <si>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</si>
  <si>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</si>
  <si>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</si>
  <si>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</si>
  <si>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</si>
  <si>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</si>
  <si>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</si>
  <si>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</si>
  <si>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</si>
  <si>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</si>
  <si>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</si>
  <si>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</si>
  <si>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</si>
  <si>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</si>
  <si>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</si>
  <si>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</si>
  <si>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</si>
  <si>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</si>
  <si>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</si>
  <si>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</si>
  <si>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</si>
  <si>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</si>
  <si>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</si>
  <si>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</si>
  <si>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</si>
  <si>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</si>
  <si>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</si>
  <si>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</si>
  <si>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</si>
  <si>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</si>
  <si>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</si>
  <si>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</si>
  <si>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</si>
  <si>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</si>
  <si>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</si>
  <si>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</si>
  <si>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</si>
  <si>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</si>
  <si>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</si>
  <si>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</si>
  <si>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</si>
  <si>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</si>
  <si>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</si>
  <si>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</si>
  <si>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</si>
  <si>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</si>
  <si>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</si>
  <si>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</si>
  <si>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</si>
  <si>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</si>
  <si>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</si>
  <si>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</si>
  <si>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</si>
  <si>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</si>
  <si>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</si>
  <si>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</si>
  <si>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</si>
  <si>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</si>
  <si>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</si>
  <si>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</si>
  <si>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</si>
  <si>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</si>
  <si>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</si>
  <si>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</si>
  <si>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</si>
  <si>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</si>
  <si>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</si>
  <si>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</si>
  <si>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</si>
  <si>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</si>
  <si>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</si>
  <si>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</si>
  <si>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</si>
  <si>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</si>
  <si>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</si>
  <si>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</si>
  <si>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</si>
  <si>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</si>
  <si>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</si>
  <si>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</si>
  <si>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</si>
  <si>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</si>
  <si>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</si>
  <si>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</si>
  <si>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</si>
  <si>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</si>
  <si>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</si>
  <si>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</si>
  <si>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</si>
  <si>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</si>
  <si>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</si>
  <si>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</si>
  <si>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</si>
  <si>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</si>
  <si>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</si>
  <si>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</si>
  <si>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</si>
  <si>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</si>
  <si>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</si>
  <si>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</si>
  <si>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</si>
  <si>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</si>
  <si>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</si>
  <si>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</si>
  <si>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</si>
  <si>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</si>
  <si>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</si>
  <si>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</si>
  <si>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</si>
  <si>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</si>
  <si>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</si>
  <si>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</si>
  <si>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</si>
  <si>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</si>
  <si>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</si>
  <si>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</si>
  <si>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</si>
  <si>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</si>
  <si>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</si>
  <si>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</si>
  <si>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</si>
  <si>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</si>
  <si>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</si>
  <si>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</si>
  <si>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</si>
  <si>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</si>
  <si>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</si>
  <si>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</si>
  <si>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</si>
  <si>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</si>
  <si>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</si>
  <si>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</si>
  <si>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</si>
  <si>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</si>
  <si>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</si>
  <si>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</si>
  <si>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</si>
  <si>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</si>
  <si>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</si>
  <si>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</si>
  <si>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</si>
  <si>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</si>
  <si>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</si>
  <si>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</si>
  <si>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</si>
  <si>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</si>
  <si>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</si>
  <si>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</si>
  <si>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</si>
  <si>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</si>
  <si>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</si>
  <si>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</si>
  <si>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</si>
  <si>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</si>
  <si>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</si>
  <si>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</si>
  <si>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</si>
  <si>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</si>
  <si>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</si>
  <si>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</si>
  <si>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</si>
  <si>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</si>
  <si>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</si>
  <si>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</si>
  <si>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</si>
  <si>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</si>
  <si>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</si>
  <si>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</si>
  <si>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</si>
  <si>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</si>
  <si>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</si>
  <si>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</si>
  <si>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</si>
  <si>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</si>
  <si>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</si>
  <si>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</si>
  <si>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</si>
  <si>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</si>
  <si>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</si>
  <si>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</si>
  <si>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</si>
  <si>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</si>
  <si>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</si>
  <si>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</si>
  <si>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</si>
  <si>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</si>
  <si>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</si>
  <si>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</si>
  <si>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</si>
  <si>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</si>
  <si>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</si>
  <si>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</si>
  <si>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</si>
  <si>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</si>
  <si>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</si>
  <si>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</si>
  <si>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</si>
  <si>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</si>
  <si>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</si>
  <si>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</si>
  <si>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</si>
  <si>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</si>
  <si>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</si>
  <si>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</si>
  <si>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</si>
  <si>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</si>
  <si>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</si>
  <si>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</si>
  <si>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</si>
  <si>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</si>
  <si>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</si>
  <si>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</si>
  <si>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</si>
  <si>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</si>
  <si>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</si>
  <si>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</si>
  <si>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</si>
  <si>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</si>
  <si>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</si>
  <si>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</si>
  <si>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</si>
  <si>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</si>
  <si>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</si>
  <si>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</si>
  <si>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</si>
  <si>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</si>
  <si>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</si>
  <si>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</si>
  <si>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</si>
  <si>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</si>
  <si>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</si>
  <si>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</si>
  <si>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</si>
  <si>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</si>
  <si>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</si>
  <si>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</si>
  <si>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</si>
  <si>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</si>
  <si>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</si>
  <si>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</si>
  <si>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</si>
  <si>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</si>
  <si>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</si>
  <si>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</si>
  <si>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</si>
  <si>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</si>
  <si>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</si>
  <si>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</si>
  <si>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</si>
  <si>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</si>
  <si>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</si>
  <si>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</si>
  <si>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</si>
  <si>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</si>
  <si>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</si>
  <si>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</si>
  <si>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</si>
  <si>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</si>
  <si>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</si>
  <si>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</si>
  <si>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</si>
  <si>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</si>
  <si>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</si>
  <si>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</si>
  <si>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</si>
  <si>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</si>
  <si>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</si>
  <si>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</si>
  <si>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</si>
  <si>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</si>
  <si>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</si>
  <si>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</si>
  <si>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</si>
  <si>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</si>
  <si>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</si>
  <si>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</si>
  <si>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</si>
  <si>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</si>
  <si>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</si>
  <si>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</si>
  <si>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</si>
  <si>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</si>
  <si>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</si>
  <si>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</si>
  <si>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</si>
  <si>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</si>
  <si>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</si>
  <si>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</si>
  <si>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</si>
  <si>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</si>
  <si>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</si>
  <si>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</si>
  <si>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</si>
  <si>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</si>
  <si>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</si>
  <si>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</si>
  <si>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</si>
  <si>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</si>
  <si>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</si>
  <si>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</si>
  <si>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</si>
  <si>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</si>
  <si>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</si>
  <si>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</si>
  <si>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</si>
  <si>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</si>
  <si>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</si>
  <si>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</si>
  <si>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</si>
  <si>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</si>
  <si>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</si>
  <si>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</si>
  <si>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</si>
  <si>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</si>
  <si>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</si>
  <si>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</si>
  <si>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</si>
  <si>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</si>
  <si>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</si>
  <si>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</si>
  <si>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</si>
  <si>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</si>
  <si>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</si>
  <si>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</si>
  <si>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</si>
  <si>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</si>
  <si>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</si>
  <si>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</si>
  <si>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</si>
  <si>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</si>
  <si>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</si>
  <si>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</si>
  <si>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</si>
  <si>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</si>
  <si>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</si>
  <si>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</si>
  <si>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</si>
  <si>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</si>
  <si>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</si>
  <si>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</si>
  <si>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</si>
  <si>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</si>
  <si>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</si>
  <si>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</si>
  <si>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</si>
  <si>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</si>
  <si>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</si>
  <si>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</si>
  <si>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</si>
  <si>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</si>
  <si>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</si>
  <si>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</si>
  <si>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</si>
  <si>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</si>
  <si>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</si>
  <si>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</si>
  <si>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</si>
  <si>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</si>
  <si>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</si>
  <si>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</si>
  <si>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</si>
  <si>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</si>
  <si>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</si>
  <si>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</si>
  <si>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</si>
  <si>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</si>
  <si>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</si>
  <si>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</si>
  <si>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</si>
  <si>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</si>
  <si>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</si>
  <si>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</si>
  <si>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</si>
  <si>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</si>
  <si>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</si>
  <si>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</si>
  <si>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</si>
  <si>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</si>
  <si>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</si>
  <si>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</si>
  <si>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</si>
  <si>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</si>
  <si>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</si>
  <si>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</si>
  <si>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</si>
  <si>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</si>
  <si>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</si>
  <si>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</si>
  <si>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</si>
  <si>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</si>
  <si>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</si>
  <si>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</si>
  <si>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</si>
  <si>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</si>
  <si>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</si>
  <si>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</si>
  <si>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</si>
  <si>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</si>
  <si>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</si>
  <si>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</si>
  <si>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</si>
  <si>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</si>
  <si>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</si>
  <si>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</si>
  <si>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</si>
  <si>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</si>
  <si>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</si>
  <si>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</si>
  <si>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</si>
  <si>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</si>
  <si>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</si>
  <si>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</si>
  <si>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</si>
  <si>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</si>
  <si>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</si>
  <si>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</si>
  <si>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</si>
  <si>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</si>
  <si>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</si>
  <si>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</si>
  <si>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</si>
  <si>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</si>
  <si>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</si>
  <si>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</si>
  <si>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</si>
  <si>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</si>
  <si>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</si>
  <si>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</si>
  <si>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</si>
  <si>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</si>
  <si>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</si>
  <si>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</si>
  <si>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</si>
  <si>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</si>
  <si>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</si>
  <si>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</si>
  <si>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</si>
  <si>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</si>
  <si>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</si>
  <si>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</si>
  <si>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</si>
  <si>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</si>
  <si>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</si>
  <si>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</si>
  <si>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</si>
  <si>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</si>
  <si>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</si>
  <si>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</si>
  <si>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</si>
  <si>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</si>
  <si>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</si>
  <si>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</si>
  <si>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</si>
  <si>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</si>
  <si>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</si>
  <si>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</si>
  <si>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</si>
  <si>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</si>
  <si>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</si>
  <si>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</si>
  <si>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</si>
  <si>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</si>
  <si>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</si>
  <si>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</si>
  <si>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</si>
  <si>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</si>
  <si>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</si>
  <si>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</si>
  <si>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</si>
  <si>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</si>
  <si>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</si>
  <si>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</si>
  <si>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</si>
  <si>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</si>
  <si>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</si>
  <si>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</si>
  <si>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</si>
  <si>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</si>
  <si>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</si>
  <si>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</si>
  <si>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</si>
  <si>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</si>
  <si>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</si>
  <si>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</si>
  <si>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</si>
  <si>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</si>
  <si>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</si>
  <si>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</si>
  <si>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</si>
  <si>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</si>
  <si>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</si>
  <si>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</si>
  <si>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</si>
  <si>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</si>
  <si>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</si>
  <si>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</si>
  <si>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</si>
  <si>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</si>
  <si>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</si>
  <si>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</si>
  <si>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</si>
  <si>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</si>
  <si>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</si>
  <si>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</si>
  <si>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</si>
  <si>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</si>
  <si>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</si>
  <si>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</si>
  <si>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</si>
  <si>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</si>
  <si>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</si>
  <si>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</si>
  <si>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</si>
  <si>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</si>
  <si>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</si>
  <si>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</si>
  <si>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</si>
  <si>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</si>
  <si>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</si>
  <si>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</si>
  <si>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</si>
  <si>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</si>
  <si>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</si>
  <si>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</si>
  <si>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</si>
  <si>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</si>
  <si>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</si>
  <si>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</si>
  <si>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</si>
  <si>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</si>
  <si>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</si>
  <si>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</si>
  <si>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</si>
  <si>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</si>
  <si>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</si>
  <si>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</si>
  <si>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</si>
  <si>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</si>
  <si>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</si>
  <si>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</si>
  <si>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</si>
  <si>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</si>
  <si>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</si>
  <si>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</si>
  <si>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</si>
  <si>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</si>
  <si>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</si>
  <si>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</si>
  <si>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</si>
  <si>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</si>
  <si>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</si>
  <si>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</si>
  <si>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</si>
  <si>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</si>
  <si>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</si>
  <si>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</si>
  <si>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</si>
  <si>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</si>
  <si>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</si>
  <si>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</si>
  <si>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</si>
  <si>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</si>
  <si>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</si>
  <si>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</si>
  <si>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</si>
  <si>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</si>
  <si>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</si>
  <si>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</si>
  <si>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</si>
  <si>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</si>
  <si>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</si>
  <si>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</si>
  <si>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</si>
  <si>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</si>
  <si>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</si>
  <si>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</si>
  <si>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</si>
  <si>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</si>
  <si>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</si>
  <si>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</si>
  <si>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</si>
  <si>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</si>
  <si>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</si>
  <si>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</si>
  <si>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</si>
  <si>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</si>
  <si>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</si>
  <si>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</si>
  <si>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</si>
  <si>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</si>
  <si>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</si>
  <si>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</si>
  <si>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</si>
  <si>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</si>
  <si>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</si>
  <si>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</si>
  <si>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</si>
  <si>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</si>
  <si>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</si>
  <si>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</si>
  <si>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</si>
  <si>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</si>
  <si>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</si>
  <si>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</si>
  <si>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</si>
  <si>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</si>
  <si>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</si>
  <si>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</si>
  <si>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</si>
  <si>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</si>
  <si>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</si>
  <si>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</si>
  <si>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</si>
  <si>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</si>
  <si>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</si>
  <si>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</si>
  <si>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</si>
  <si>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</si>
  <si>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</si>
  <si>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</si>
  <si>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</si>
  <si>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</si>
  <si>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</si>
  <si>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</si>
  <si>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</si>
  <si>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</si>
  <si>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</si>
  <si>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</si>
  <si>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</si>
  <si>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</si>
  <si>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</si>
  <si>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</si>
  <si>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</si>
  <si>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</si>
  <si>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</si>
  <si>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</si>
  <si>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</si>
  <si>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</si>
  <si>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</si>
  <si>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</si>
  <si>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</si>
  <si>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</si>
  <si>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</si>
  <si>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</si>
  <si>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</si>
  <si>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</si>
  <si>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</si>
  <si>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</si>
  <si>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</si>
  <si>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</si>
  <si>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</si>
  <si>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</si>
  <si>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</si>
  <si>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</si>
  <si>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</si>
  <si>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</si>
  <si>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</si>
  <si>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</si>
  <si>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</si>
  <si>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</si>
  <si>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</si>
  <si>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</si>
  <si>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</si>
  <si>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</si>
  <si>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</si>
  <si>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</si>
  <si>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</si>
  <si>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</si>
  <si>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</si>
  <si>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</si>
  <si>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</si>
  <si>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</si>
  <si>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</si>
  <si>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</si>
  <si>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</si>
  <si>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</si>
  <si>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</si>
  <si>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</si>
  <si>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</si>
  <si>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</si>
  <si>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</si>
  <si>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</si>
  <si>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</si>
  <si>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</si>
  <si>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</si>
  <si>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</si>
  <si>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</si>
  <si>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</si>
  <si>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</si>
  <si>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</si>
  <si>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</si>
  <si>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</si>
  <si>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</si>
  <si>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</si>
  <si>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</si>
  <si>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</si>
  <si>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</si>
  <si>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</si>
  <si>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</si>
  <si>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</si>
  <si>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</si>
  <si>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</si>
  <si>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</si>
  <si>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</si>
  <si>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</si>
  <si>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</si>
  <si>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</si>
  <si>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</si>
  <si>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</si>
  <si>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</si>
  <si>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</si>
  <si>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</si>
  <si>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</si>
  <si>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</si>
  <si>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</si>
  <si>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</si>
  <si>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</si>
  <si>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</si>
  <si>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</si>
  <si>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</si>
  <si>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</si>
  <si>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</si>
  <si>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</si>
  <si>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</si>
  <si>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</si>
  <si>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</si>
  <si>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</si>
  <si>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</si>
  <si>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</si>
  <si>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</si>
  <si>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</si>
  <si>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</si>
  <si>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</si>
  <si>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</si>
  <si>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</si>
  <si>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</si>
  <si>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</si>
  <si>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</si>
  <si>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</si>
  <si>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</si>
  <si>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</si>
  <si>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</si>
  <si>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</si>
  <si>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</si>
  <si>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</si>
  <si>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</si>
  <si>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</si>
  <si>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</si>
  <si>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</si>
  <si>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</si>
  <si>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</si>
  <si>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</si>
  <si>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</si>
  <si>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</si>
  <si>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</si>
  <si>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</si>
  <si>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</si>
  <si>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</si>
  <si>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</si>
  <si>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</si>
  <si>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</si>
  <si>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</si>
  <si>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</si>
  <si>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</si>
  <si>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</si>
  <si>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</si>
  <si>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</si>
  <si>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</si>
  <si>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</si>
  <si>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</si>
  <si>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</si>
  <si>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</si>
  <si>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</si>
  <si>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</si>
  <si>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</si>
  <si>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</si>
  <si>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</si>
  <si>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</si>
  <si>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</si>
  <si>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</si>
  <si>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</si>
  <si>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</si>
  <si>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</si>
  <si>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</si>
  <si>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</si>
  <si>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</si>
  <si>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</si>
  <si>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</si>
  <si>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</si>
  <si>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</si>
  <si>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</si>
  <si>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</si>
  <si>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</si>
  <si>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</si>
  <si>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</si>
  <si>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</si>
  <si>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</si>
  <si>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</si>
  <si>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</si>
  <si>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</si>
  <si>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</si>
  <si>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</si>
  <si>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</si>
  <si>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</si>
  <si>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</si>
  <si>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</si>
  <si>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</si>
  <si>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</si>
  <si>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</si>
  <si>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</si>
  <si>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</si>
  <si>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</si>
  <si>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</si>
  <si>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</si>
  <si>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</si>
  <si>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</si>
  <si>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</si>
  <si>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</si>
  <si>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</si>
  <si>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</si>
  <si>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</si>
  <si>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</si>
  <si>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</si>
  <si>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</si>
  <si>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</si>
  <si>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</si>
  <si>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</si>
  <si>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</si>
  <si>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</si>
  <si>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</si>
  <si>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</si>
  <si>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</si>
  <si>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</si>
  <si>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</si>
  <si>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</si>
  <si>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</si>
  <si>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</si>
  <si>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</si>
  <si>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</si>
  <si>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</si>
  <si>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</si>
  <si>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</si>
  <si>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</si>
  <si>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</si>
  <si>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</si>
  <si>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</si>
  <si>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</si>
  <si>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</si>
  <si>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</si>
  <si>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</si>
  <si>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</si>
  <si>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</si>
  <si>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</si>
  <si>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</si>
  <si>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</si>
  <si>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</si>
  <si>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</si>
  <si>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</si>
  <si>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</si>
  <si>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</si>
  <si>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</si>
  <si>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</si>
  <si>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</si>
  <si>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</si>
  <si>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</si>
  <si>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</si>
  <si>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</si>
  <si>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</si>
  <si>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</si>
  <si>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</si>
  <si>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</si>
  <si>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</si>
  <si>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</si>
  <si>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</si>
  <si>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</si>
  <si>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</si>
  <si>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</si>
  <si>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</si>
  <si>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</si>
  <si>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</si>
  <si>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</si>
  <si>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</si>
  <si>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</si>
  <si>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</si>
  <si>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</si>
  <si>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</si>
  <si>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</si>
  <si>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</si>
  <si>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</si>
  <si>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</si>
  <si>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</si>
  <si>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</si>
  <si>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</si>
  <si>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</si>
  <si>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</si>
  <si>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</si>
  <si>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</si>
  <si>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</si>
  <si>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</si>
  <si>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</si>
  <si>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</si>
  <si>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</si>
  <si>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</si>
  <si>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</si>
  <si>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</si>
  <si>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</si>
  <si>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</si>
  <si>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</si>
  <si>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</si>
  <si>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</si>
  <si>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</si>
  <si>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</si>
  <si>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</si>
  <si>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</si>
  <si>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</si>
  <si>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</si>
  <si>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</si>
  <si>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</si>
  <si>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</si>
  <si>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</si>
  <si>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</si>
  <si>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</si>
  <si>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</si>
  <si>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</si>
  <si>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</si>
  <si>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</si>
  <si>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</si>
  <si>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</si>
  <si>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</si>
  <si>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</si>
  <si>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</si>
  <si>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</si>
  <si>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</si>
  <si>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</si>
  <si>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</si>
  <si>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</si>
  <si>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</si>
  <si>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</si>
  <si>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</si>
  <si>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</si>
  <si>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</si>
  <si>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</si>
  <si>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</si>
  <si>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</si>
  <si>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</si>
  <si>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</si>
  <si>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</si>
  <si>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</si>
  <si>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</si>
  <si>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</si>
  <si>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</si>
  <si>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</si>
  <si>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</si>
  <si>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</si>
  <si>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</si>
  <si>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</si>
  <si>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</si>
  <si>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</si>
  <si>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</si>
  <si>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</si>
  <si>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</si>
  <si>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</si>
  <si>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</si>
  <si>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</si>
  <si>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</si>
  <si>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</si>
  <si>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</si>
  <si>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</si>
  <si>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</si>
  <si>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</si>
  <si>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</si>
  <si>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</si>
  <si>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</si>
  <si>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</si>
  <si>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</si>
  <si>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</si>
  <si>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</si>
  <si>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</si>
  <si>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</si>
  <si>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</si>
  <si>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</si>
  <si>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</si>
  <si>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</si>
  <si>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</si>
  <si>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</si>
  <si>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</si>
  <si>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</si>
  <si>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</si>
  <si>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</si>
  <si>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</si>
  <si>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</si>
  <si>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</si>
  <si>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</si>
  <si>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</si>
  <si>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</si>
  <si>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</si>
  <si>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</si>
  <si>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</si>
  <si>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</si>
  <si>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</si>
  <si>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</si>
  <si>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</si>
  <si>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</si>
  <si>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</si>
  <si>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</si>
  <si>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</si>
  <si>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</si>
  <si>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</si>
  <si>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</si>
  <si>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</si>
  <si>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其他：</t>
  </si>
  <si>
    <t>企业</t>
  </si>
  <si>
    <t>是</t>
  </si>
  <si>
    <t>地上</t>
  </si>
  <si>
    <t>商业</t>
    <phoneticPr fontId="8" type="noConversion"/>
  </si>
  <si>
    <t>成新度</t>
  </si>
  <si>
    <t>收益法</t>
  </si>
  <si>
    <t>押一</t>
  </si>
  <si>
    <t>钢混</t>
  </si>
  <si>
    <t>非生产用房</t>
  </si>
  <si>
    <t>否</t>
  </si>
  <si>
    <t>成本法</t>
  </si>
  <si>
    <t>武汉泰富二零四九滨江房地产开发有限公司</t>
  </si>
  <si>
    <t>2022-09-27</t>
  </si>
  <si>
    <t>挂牌</t>
  </si>
  <si>
    <t>2.58</t>
  </si>
  <si>
    <t>商服40年、其他50年</t>
  </si>
  <si>
    <t>交通运输(地下通道及配建停车)、商服(地下)</t>
  </si>
  <si>
    <t>商业/办公用地</t>
  </si>
  <si>
    <t>P(2022)080号</t>
  </si>
  <si>
    <t>二七滨江</t>
  </si>
  <si>
    <t>江岸区</t>
  </si>
  <si>
    <t>武汉市</t>
  </si>
  <si>
    <t>江岸区二七沿江商务核心区北片14D-2号地块地下及市政道路</t>
  </si>
  <si>
    <t>武汉江升置业有限公司</t>
  </si>
  <si>
    <t>2.85</t>
  </si>
  <si>
    <t>商服40年</t>
  </si>
  <si>
    <t>商服、公园绿地</t>
  </si>
  <si>
    <t>P(2022)083号</t>
  </si>
  <si>
    <t>常青路</t>
  </si>
  <si>
    <t>江汉区</t>
  </si>
  <si>
    <t>江汉区常青路与银墩路交汇处</t>
  </si>
  <si>
    <t>武汉泰富二零四九信华置业有限公司</t>
  </si>
  <si>
    <t>2.27</t>
  </si>
  <si>
    <t>P(2022)081号</t>
  </si>
  <si>
    <t>江岸区二七沿江商务核心区北片18号地块地下商业用地及市政道路</t>
  </si>
  <si>
    <t>湖北壳牌能源有限公司</t>
  </si>
  <si>
    <t>2022-12-08</t>
  </si>
  <si>
    <t>拍卖</t>
  </si>
  <si>
    <t>0.20</t>
  </si>
  <si>
    <t>商服40</t>
  </si>
  <si>
    <t>加油加气站</t>
  </si>
  <si>
    <t>P(2022)121号</t>
  </si>
  <si>
    <t>四新</t>
  </si>
  <si>
    <t>汉阳区</t>
  </si>
  <si>
    <t>汉阳区芳草中路与芳草南二街相交道口西北角(04B8地块)</t>
  </si>
  <si>
    <t>武汉市江岸区房地产公司</t>
  </si>
  <si>
    <t>2022-12-16</t>
  </si>
  <si>
    <t>2.80</t>
  </si>
  <si>
    <t>商务设施、公共交通设施</t>
  </si>
  <si>
    <t>P(2022)122号</t>
  </si>
  <si>
    <t>二七</t>
  </si>
  <si>
    <t>江岸区黑泥湖路与二七北路交汇处</t>
  </si>
  <si>
    <t>武汉明华澳汉有限公司</t>
  </si>
  <si>
    <t>2023-10-09</t>
  </si>
  <si>
    <t>0.15</t>
  </si>
  <si>
    <t>商服(加油加气站)</t>
  </si>
  <si>
    <t>P(2023)071号</t>
  </si>
  <si>
    <t>长丰</t>
  </si>
  <si>
    <t>硚口区</t>
  </si>
  <si>
    <t>硚口区工农路17-19号</t>
  </si>
  <si>
    <t>武汉市麓华房地产开发有限公司</t>
  </si>
  <si>
    <t>2023-10-18</t>
  </si>
  <si>
    <t>0.88</t>
  </si>
  <si>
    <t>商服用地(餐饮用地)、交通服务场站用地(地下)</t>
  </si>
  <si>
    <t>PCX(2023)01号</t>
  </si>
  <si>
    <t>谌家矶</t>
  </si>
  <si>
    <t>武汉长江新区谌家矶大道以北、祁连街(规划道路)两侧</t>
  </si>
  <si>
    <t>武汉跃进集团有限公司</t>
  </si>
  <si>
    <t>2023-12-26</t>
  </si>
  <si>
    <t>1.38</t>
  </si>
  <si>
    <t>零售商业、旅馆、商务金融</t>
  </si>
  <si>
    <t>P(2023)123号</t>
  </si>
  <si>
    <t>塔子湖</t>
  </si>
  <si>
    <t>江岸区春兰街与翠柏路交汇处以西</t>
  </si>
  <si>
    <t>武汉文化旅游集团有限公司</t>
  </si>
  <si>
    <t>2023-12-29</t>
  </si>
  <si>
    <t>1.000&lt; 并且 ≤1.151</t>
  </si>
  <si>
    <t>40年</t>
  </si>
  <si>
    <t>P(2023)150号</t>
  </si>
  <si>
    <t>琴台文化区</t>
  </si>
  <si>
    <t>汉阳区琴台大剧院以西、琴台美术馆以东、知音大道以南</t>
  </si>
  <si>
    <t>武汉道禾置业有限公司</t>
  </si>
  <si>
    <t>2024-03-07</t>
  </si>
  <si>
    <t>5.99</t>
  </si>
  <si>
    <t>商服</t>
  </si>
  <si>
    <t>P(2024)002号</t>
  </si>
  <si>
    <t>汉口滨江</t>
  </si>
  <si>
    <t>江岸区解放大道与球场横路交汇处</t>
  </si>
  <si>
    <t>中保不动产(武汉)有限公司</t>
  </si>
  <si>
    <t>2024-02-27</t>
  </si>
  <si>
    <t>13.56</t>
  </si>
  <si>
    <t>P(2024)003号</t>
  </si>
  <si>
    <t>钟家村</t>
  </si>
  <si>
    <t>汉阳区鹦鹉大道与归元寺北路交叉口</t>
  </si>
  <si>
    <t>武汉市江岸国有资产经营管理有限责任公司</t>
  </si>
  <si>
    <t>2024-09-10</t>
  </si>
  <si>
    <t>1.000&lt;并且≤2.250</t>
  </si>
  <si>
    <t>零售商业用地、商务金融用地、公园与绿地</t>
  </si>
  <si>
    <t>P(2024)061号</t>
  </si>
  <si>
    <t>江岸区沿江大道与合作路交汇处</t>
  </si>
  <si>
    <t>武汉怡和房地产综合开发有限公司</t>
  </si>
  <si>
    <t/>
  </si>
  <si>
    <t>2024-08-30</t>
  </si>
  <si>
    <t>0</t>
  </si>
  <si>
    <t>零售商业、餐饮、娱乐</t>
  </si>
  <si>
    <t>P(2024)060号</t>
  </si>
  <si>
    <t>汉正街</t>
  </si>
  <si>
    <t>江汉区新华街道,东至友谊路,南至京汉大道,西至教育社区、辅仁小学,北至解放大道</t>
  </si>
  <si>
    <t>陈长征</t>
  </si>
  <si>
    <t>2024-10-22</t>
  </si>
  <si>
    <t>0.180≤</t>
  </si>
  <si>
    <t>P(2024)077号</t>
  </si>
  <si>
    <t>古田</t>
  </si>
  <si>
    <t>硚口区古乐路与古康路交叉口西北角</t>
  </si>
  <si>
    <t>程力随车装备制造湖北有限公司</t>
  </si>
  <si>
    <t>2024-11-29</t>
  </si>
  <si>
    <t>1.000≤并且≤5.000</t>
  </si>
  <si>
    <t>商务金融用地</t>
  </si>
  <si>
    <t>P(2024)111号</t>
  </si>
  <si>
    <t>硚口区顺道街南侧和游艺路交叉口(天翔灯饰项目)</t>
  </si>
  <si>
    <t>武汉江腾数字产业投资发展有限公司</t>
  </si>
  <si>
    <t>2024-12-13</t>
  </si>
  <si>
    <t>4.34</t>
  </si>
  <si>
    <t>40年、50年</t>
  </si>
  <si>
    <t>P(2024)153号</t>
  </si>
  <si>
    <t>王家墩</t>
  </si>
  <si>
    <t>江汉区常青路与发展大道交汇处以南</t>
  </si>
  <si>
    <t>武汉安居置业有限公司</t>
  </si>
  <si>
    <t>2024-12-20</t>
  </si>
  <si>
    <t>1.000≤并且≤1.670</t>
  </si>
  <si>
    <t>其他商业服务业用地</t>
  </si>
  <si>
    <t>P(2024)184号</t>
  </si>
  <si>
    <t>金融街</t>
  </si>
  <si>
    <t>江岸区惠济路3号(武汉晚报)</t>
  </si>
  <si>
    <t>武汉鼎新实业投资有限公司</t>
  </si>
  <si>
    <t>2024-12-26</t>
  </si>
  <si>
    <t>14.20</t>
  </si>
  <si>
    <t>P(2024)197号</t>
  </si>
  <si>
    <t>江岸区沿江大道与四唯路交汇处</t>
  </si>
  <si>
    <t>武汉文化创意产业投资发展有限公司</t>
  </si>
  <si>
    <t>0.80</t>
  </si>
  <si>
    <t>50年、40年</t>
  </si>
  <si>
    <t>文化设施、商服、公园绿地</t>
  </si>
  <si>
    <t>P(2024)209号</t>
  </si>
  <si>
    <t>汉阳区鹦鹉大道与知音大道交汇处东南侧</t>
  </si>
  <si>
    <t>受让单位</t>
  </si>
  <si>
    <t>溢价率(%)</t>
  </si>
  <si>
    <t>成交楼面价(元/㎡)</t>
  </si>
  <si>
    <t>成交土地单价(元/㎡)</t>
  </si>
  <si>
    <t>成交价(万元)</t>
  </si>
  <si>
    <t>成交时间</t>
  </si>
  <si>
    <t>出让方式</t>
  </si>
  <si>
    <t>容积率</t>
  </si>
  <si>
    <t>出让年限(年)</t>
  </si>
  <si>
    <t>详细规划</t>
  </si>
  <si>
    <t>用地性质</t>
  </si>
  <si>
    <t>规划建筑面积(㎡)</t>
  </si>
  <si>
    <t>建设用地面积(㎡)</t>
  </si>
  <si>
    <t>地块编号</t>
  </si>
  <si>
    <t>板块</t>
  </si>
  <si>
    <t>区县</t>
  </si>
  <si>
    <t>城市</t>
  </si>
  <si>
    <t>地块名称</t>
  </si>
  <si>
    <t>正常</t>
  </si>
  <si>
    <t>规则</t>
    <phoneticPr fontId="135" type="noConversion"/>
  </si>
  <si>
    <t>较规则</t>
    <phoneticPr fontId="135" type="noConversion"/>
  </si>
  <si>
    <t>较不规则</t>
    <phoneticPr fontId="135" type="noConversion"/>
  </si>
  <si>
    <t>不规则</t>
    <phoneticPr fontId="135" type="noConversion"/>
  </si>
  <si>
    <t>较适宜</t>
    <phoneticPr fontId="4" type="noConversion"/>
  </si>
  <si>
    <t>七通一平</t>
    <phoneticPr fontId="135" type="noConversion"/>
  </si>
  <si>
    <t>六通一平</t>
    <phoneticPr fontId="135" type="noConversion"/>
  </si>
  <si>
    <t>五通一平</t>
    <phoneticPr fontId="135" type="noConversion"/>
  </si>
  <si>
    <t>四通一平</t>
    <phoneticPr fontId="135" type="noConversion"/>
  </si>
  <si>
    <t>三通一平</t>
    <phoneticPr fontId="135" type="noConversion"/>
  </si>
  <si>
    <t>较好</t>
    <phoneticPr fontId="135" type="noConversion"/>
  </si>
  <si>
    <t>未包含在土地购买价格中</t>
  </si>
  <si>
    <t>全部缴纳</t>
  </si>
  <si>
    <t>已包含在土地取得成本中</t>
  </si>
  <si>
    <t>楼层</t>
    <phoneticPr fontId="4" type="noConversion"/>
  </si>
  <si>
    <t>系数</t>
    <phoneticPr fontId="4" type="noConversion"/>
  </si>
  <si>
    <t>租金</t>
    <phoneticPr fontId="4" type="noConversion"/>
  </si>
  <si>
    <t>面积</t>
    <phoneticPr fontId="4" type="noConversion"/>
  </si>
  <si>
    <t>较好</t>
  </si>
  <si>
    <t>好</t>
  </si>
  <si>
    <t>楼面单价</t>
  </si>
  <si>
    <t>成本比率</t>
  </si>
  <si>
    <t>https://3g.wuhan.gov.cn/zwgk/xxgk/zfwj/szfwj/202407/t20240705_2425353.shtml</t>
  </si>
  <si>
    <t>附属用房</t>
    <phoneticPr fontId="135" type="noConversion"/>
  </si>
  <si>
    <t>屋顶</t>
    <phoneticPr fontId="135" type="noConversion"/>
  </si>
  <si>
    <t>宜家</t>
    <phoneticPr fontId="135" type="noConversion"/>
  </si>
  <si>
    <t>商业、车位</t>
    <phoneticPr fontId="135" type="noConversion"/>
  </si>
  <si>
    <t xml:space="preserve">商业 </t>
    <phoneticPr fontId="135" type="noConversion"/>
  </si>
  <si>
    <t>商业</t>
    <phoneticPr fontId="135" type="noConversion"/>
  </si>
  <si>
    <t>楼层</t>
    <phoneticPr fontId="135" type="noConversion"/>
  </si>
  <si>
    <t>建筑面积</t>
    <phoneticPr fontId="135" type="noConversion"/>
  </si>
  <si>
    <t>可租赁面积</t>
    <phoneticPr fontId="135" type="noConversion"/>
  </si>
  <si>
    <t>车位个数</t>
    <phoneticPr fontId="135" type="noConversion"/>
  </si>
  <si>
    <t>全部合计</t>
    <phoneticPr fontId="135" type="noConversion"/>
  </si>
  <si>
    <t>地上产权合计</t>
    <phoneticPr fontId="135" type="noConversion"/>
  </si>
  <si>
    <t>地下</t>
  </si>
  <si>
    <r>
      <rPr>
        <sz val="11"/>
        <color theme="1"/>
        <rFont val="宋体"/>
        <family val="2"/>
        <charset val="134"/>
      </rPr>
      <t>项目类型</t>
    </r>
    <phoneticPr fontId="248" type="noConversion"/>
  </si>
  <si>
    <r>
      <rPr>
        <sz val="11"/>
        <color theme="1"/>
        <rFont val="宋体"/>
        <family val="2"/>
        <charset val="134"/>
      </rPr>
      <t>建筑类型</t>
    </r>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</si>
  <si>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</si>
  <si>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</si>
  <si>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建筑面积</t>
    </r>
    <phoneticPr fontId="248" type="noConversion"/>
  </si>
  <si>
    <r>
      <rPr>
        <sz val="11"/>
        <color theme="1"/>
        <rFont val="宋体"/>
        <family val="2"/>
        <charset val="134"/>
      </rPr>
      <t>总</t>
    </r>
    <phoneticPr fontId="248" type="noConversion"/>
  </si>
  <si>
    <r>
      <rPr>
        <sz val="11"/>
        <color theme="1"/>
        <rFont val="宋体"/>
        <family val="2"/>
        <charset val="134"/>
      </rPr>
      <t>建安造价</t>
    </r>
    <phoneticPr fontId="248" type="noConversion"/>
  </si>
  <si>
    <t>总造价</t>
    <phoneticPr fontId="248" type="noConversion"/>
  </si>
  <si>
    <r>
      <rPr>
        <sz val="11"/>
        <color theme="1"/>
        <rFont val="宋体"/>
        <family val="2"/>
        <charset val="134"/>
      </rPr>
      <t>主体（含屋面、外装）</t>
    </r>
    <phoneticPr fontId="248" type="noConversion"/>
  </si>
  <si>
    <r>
      <rPr>
        <sz val="11"/>
        <color theme="1"/>
        <rFont val="宋体"/>
        <family val="2"/>
        <charset val="134"/>
      </rPr>
      <t>装修</t>
    </r>
    <phoneticPr fontId="248" type="noConversion"/>
  </si>
  <si>
    <r>
      <rPr>
        <sz val="11"/>
        <color theme="1"/>
        <rFont val="宋体"/>
        <family val="2"/>
        <charset val="134"/>
      </rPr>
      <t>机电设备</t>
    </r>
    <phoneticPr fontId="248" type="noConversion"/>
  </si>
  <si>
    <t>占比</t>
    <phoneticPr fontId="248" type="noConversion"/>
  </si>
  <si>
    <t>主体</t>
    <phoneticPr fontId="248" type="noConversion"/>
  </si>
  <si>
    <t>装修</t>
    <phoneticPr fontId="248" type="noConversion"/>
  </si>
  <si>
    <t>设备</t>
    <phoneticPr fontId="248" type="noConversion"/>
  </si>
  <si>
    <t>购物中心</t>
    <phoneticPr fontId="248" type="noConversion"/>
  </si>
  <si>
    <t>多层</t>
    <phoneticPr fontId="248" type="noConversion"/>
  </si>
  <si>
    <t>六通</t>
  </si>
  <si>
    <t>较规则</t>
  </si>
  <si>
    <t>较适宜</t>
  </si>
  <si>
    <t>五通一平</t>
  </si>
  <si>
    <t>结论</t>
    <phoneticPr fontId="243" type="noConversion"/>
  </si>
  <si>
    <t>过往年份实际收入</t>
  </si>
  <si>
    <t>2015年</t>
  </si>
  <si>
    <t>2016年</t>
  </si>
  <si>
    <t>2017年</t>
  </si>
  <si>
    <t>2018年</t>
  </si>
  <si>
    <t>2019年</t>
  </si>
  <si>
    <t>2020年</t>
  </si>
  <si>
    <t>2021年</t>
  </si>
  <si>
    <t>2022年</t>
  </si>
  <si>
    <t>2023年</t>
  </si>
  <si>
    <t>2024年</t>
  </si>
  <si>
    <t>建筑面积</t>
    <phoneticPr fontId="243" type="noConversion"/>
  </si>
  <si>
    <t>出租率</t>
  </si>
  <si>
    <t>固定租金</t>
  </si>
  <si>
    <t>未来5年收入预测</t>
  </si>
  <si>
    <t>2025年</t>
  </si>
  <si>
    <t>2026年</t>
  </si>
  <si>
    <t>2027年</t>
  </si>
  <si>
    <t>2028年</t>
  </si>
  <si>
    <t>2029年</t>
  </si>
  <si>
    <t>2030年</t>
  </si>
  <si>
    <t>固定租金CAGR</t>
    <phoneticPr fontId="243" type="noConversion"/>
  </si>
  <si>
    <t>年增幅</t>
    <phoneticPr fontId="243" type="noConversion"/>
  </si>
  <si>
    <t>1. 固定租金租期内租金增幅</t>
    <phoneticPr fontId="243" type="noConversion"/>
  </si>
  <si>
    <t>武汉项目</t>
    <phoneticPr fontId="243" type="noConversion"/>
  </si>
  <si>
    <t>存续租期内租金增幅(g0)</t>
  </si>
  <si>
    <t>换签/续签后租期内租金增幅(g2)</t>
  </si>
  <si>
    <t>1+g2</t>
    <phoneticPr fontId="243" type="noConversion"/>
  </si>
  <si>
    <t>换签/续签后租期内租金增幅折扣</t>
  </si>
  <si>
    <t>零售</t>
  </si>
  <si>
    <t>餐饮</t>
  </si>
  <si>
    <t>配套</t>
  </si>
  <si>
    <t>合计-不含主力店</t>
  </si>
  <si>
    <t>主力店</t>
  </si>
  <si>
    <t>2. 行业租售比标准选取</t>
    <phoneticPr fontId="243" type="noConversion"/>
  </si>
  <si>
    <t>英文品类</t>
  </si>
  <si>
    <t>中文品类</t>
  </si>
  <si>
    <t>中文业态</t>
  </si>
  <si>
    <t>标准</t>
  </si>
  <si>
    <t>Leisure and Education</t>
  </si>
  <si>
    <t>休闲和教育</t>
  </si>
  <si>
    <t>Hypermarkets</t>
  </si>
  <si>
    <t>超市</t>
  </si>
  <si>
    <t>Services</t>
  </si>
  <si>
    <t>生活服务</t>
  </si>
  <si>
    <t>Children Department Store</t>
  </si>
  <si>
    <t>儿童零售</t>
  </si>
  <si>
    <t>Miscellaneous Dailies</t>
  </si>
  <si>
    <t>日杂便利</t>
  </si>
  <si>
    <t>Fashion</t>
  </si>
  <si>
    <t>时尚服装</t>
  </si>
  <si>
    <t>Electronics</t>
  </si>
  <si>
    <t>数码音响</t>
  </si>
  <si>
    <t>Food and Beverage</t>
  </si>
  <si>
    <t>Shoes and Bags</t>
  </si>
  <si>
    <t>鞋包服饰</t>
  </si>
  <si>
    <t>Undergarments</t>
  </si>
  <si>
    <t>内衣</t>
  </si>
  <si>
    <t>Accessories</t>
  </si>
  <si>
    <t>珠宝配饰</t>
  </si>
  <si>
    <t>Cosmetics</t>
  </si>
  <si>
    <t>化妆品</t>
  </si>
  <si>
    <t>Sport Fashion</t>
  </si>
  <si>
    <t>运动时尚</t>
  </si>
  <si>
    <t>Furniture and Home Furnishings</t>
  </si>
  <si>
    <t>家具家居</t>
  </si>
  <si>
    <t>Health</t>
  </si>
  <si>
    <t>医药健康</t>
  </si>
  <si>
    <t>Entertainment</t>
  </si>
  <si>
    <t>娱乐健身</t>
  </si>
  <si>
    <t>Sports</t>
  </si>
  <si>
    <t>运动大卖场</t>
  </si>
  <si>
    <t>IKEA</t>
  </si>
  <si>
    <t>家居大卖场</t>
  </si>
  <si>
    <t>苏宁易购</t>
  </si>
  <si>
    <t>电器大卖场</t>
  </si>
  <si>
    <t>电影院</t>
  </si>
  <si>
    <t>影院</t>
  </si>
  <si>
    <t>3. 租户及业态经营情况判断</t>
    <phoneticPr fontId="243" type="noConversion"/>
  </si>
  <si>
    <t>X=租户租售比/行业租售比标准</t>
  </si>
  <si>
    <t>经营情况</t>
  </si>
  <si>
    <t>2024年换签/续签租约增幅（BM）</t>
    <phoneticPr fontId="243" type="noConversion"/>
  </si>
  <si>
    <t>X≤1</t>
  </si>
  <si>
    <t>经营水平较好</t>
  </si>
  <si>
    <t>武汉项目</t>
  </si>
  <si>
    <t>1＜X≤1.5</t>
  </si>
  <si>
    <t>经营水平正常、压力可控</t>
  </si>
  <si>
    <t>X＞1.5</t>
  </si>
  <si>
    <t>经营压力较大</t>
  </si>
  <si>
    <t>4.固定租金换签/续签租金增幅及免租期</t>
    <phoneticPr fontId="243" type="noConversion"/>
  </si>
  <si>
    <t>到期调整租金系数</t>
  </si>
  <si>
    <t>业态</t>
  </si>
  <si>
    <t>租售比区间</t>
  </si>
  <si>
    <t>租金系数</t>
  </si>
  <si>
    <t>BM 情况</t>
    <phoneticPr fontId="243" type="noConversion"/>
  </si>
  <si>
    <t>租金系数计算逻辑</t>
    <phoneticPr fontId="243" type="noConversion"/>
  </si>
  <si>
    <t>备注说明</t>
  </si>
  <si>
    <t>BM&lt;0</t>
  </si>
  <si>
    <t>g1=0</t>
  </si>
  <si>
    <t>业态表现不佳时，对于经营水平较好的租户，属于租户自身经营突出，换签/续签时，按照平价换签/续签</t>
  </si>
  <si>
    <t>1 &lt;X≤1.5</t>
  </si>
  <si>
    <t>g1=BM</t>
  </si>
  <si>
    <t>业态表现不佳时，对于经营水平正常、压力可控的租户，换签/续签时，沿用BM作为换签/续签租约增幅，即换签/续签后租金下降</t>
  </si>
  <si>
    <t>1.5 &lt;X</t>
  </si>
  <si>
    <t>g1=(1+BM)*(1-g2)-1</t>
  </si>
  <si>
    <t>业态表现不佳时，对于经营压力较大租户，在保留换签/续签租约增幅（BM）的情况下，扣减租期内增幅（g2），做进一步降租处理</t>
  </si>
  <si>
    <t>BM&gt;0</t>
    <phoneticPr fontId="243" type="noConversion"/>
  </si>
  <si>
    <t>g1=(1+BM)*(1+g2)-1</t>
  </si>
  <si>
    <t>业态表现良好时，对于经营水平较好的租户，换签/续签时，在保留换签/续签租约增幅（BM）的情况下，叠加已有租期内增幅（g2）</t>
  </si>
  <si>
    <t>业态表现良好时，对于经营水平正常、压力可控的租户，换签/续签时，沿用BM作为换签/续签租约增幅，即换签/续签后租金提升</t>
  </si>
  <si>
    <t>业态表现良好时，对于经营压力较大租户，属于租户自身经营异常，换签/续签时，按照平价换签/续签</t>
  </si>
  <si>
    <t>注：租金系数对应一铺一价计算AV列</t>
    <phoneticPr fontId="243" type="noConversion"/>
  </si>
  <si>
    <t>换签率</t>
    <phoneticPr fontId="243" type="noConversion"/>
  </si>
  <si>
    <t>免租期</t>
    <phoneticPr fontId="243" type="noConversion"/>
  </si>
  <si>
    <t>平均免租期</t>
    <phoneticPr fontId="243" type="noConversion"/>
  </si>
  <si>
    <t>天</t>
  </si>
  <si>
    <t>免租金额</t>
  </si>
  <si>
    <t>免租后租金</t>
  </si>
  <si>
    <t>日租金</t>
  </si>
  <si>
    <t>一层</t>
    <phoneticPr fontId="135" type="noConversion"/>
  </si>
  <si>
    <t>二层</t>
    <phoneticPr fontId="135" type="noConversion"/>
  </si>
  <si>
    <t>三层</t>
    <phoneticPr fontId="135" type="noConversion"/>
  </si>
  <si>
    <t>四层</t>
    <phoneticPr fontId="135" type="noConversion"/>
  </si>
  <si>
    <t>五层</t>
    <phoneticPr fontId="135" type="noConversion"/>
  </si>
  <si>
    <t>六层</t>
    <phoneticPr fontId="135" type="noConversion"/>
  </si>
  <si>
    <t>售价</t>
    <phoneticPr fontId="4" type="noConversion"/>
  </si>
  <si>
    <t>https://zrzyhgh.wuhan.gov.cn/zwgk_18/zcfgyjd/gtzyl/202204/t20220422_1960157.shtml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</si>
</sst>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_ ;_ * \-#,##0_ ;_ * &quot;-&quot;??_ ;_ @_ "/>
    <numFmt numFmtId="198" formatCode="#,##0_ "/>
    <numFmt numFmtId="199" formatCode="_ * #,##0.00_ ;_ * \-#,##0.00_ ;_ * &quot;-&quot;??.0_ ;_ @_ "/>
  </numFmts>
  <fonts count="29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sz val="10"/>
      <color theme="1"/>
      <name val="宋体"/>
      <family val="2"/>
      <scheme val="minor"/>
    </font>
    <font>
      <sz val="10"/>
      <color rgb="FFFF0000"/>
      <name val="宋体"/>
      <family val="3"/>
      <charset val="134"/>
      <scheme val="minor"/>
    </font>
    <font>
      <sz val="11"/>
      <color indexed="8"/>
      <name val="仿宋_GB2312"/>
      <family val="3"/>
      <charset val="134"/>
    </font>
    <font>
      <sz val="11"/>
      <color theme="1"/>
      <name val="宋体"/>
      <family val="2"/>
      <charset val="134"/>
    </font>
    <font>
      <i/>
      <sz val="9"/>
      <color theme="1"/>
      <name val="Arial"/>
      <family val="2"/>
    </font>
    <font>
      <i/>
      <sz val="9"/>
      <color theme="1"/>
      <name val="宋体"/>
      <family val="3"/>
      <charset val="134"/>
    </font>
    <font>
      <b/>
      <sz val="10"/>
      <name val="微软雅黑"/>
      <family val="2"/>
      <charset val="134"/>
    </font>
    <font>
      <sz val="10"/>
      <name val="微软雅黑"/>
      <family val="2"/>
      <charset val="134"/>
    </font>
    <font>
      <i/>
      <sz val="10"/>
      <color rgb="FF000000"/>
      <name val="微软雅黑"/>
      <family val="2"/>
      <charset val="134"/>
    </font>
    <font>
      <b/>
      <i/>
      <sz val="11"/>
      <color rgb="FFFF0000"/>
      <name val="微软雅黑"/>
      <family val="2"/>
      <charset val="134"/>
    </font>
    <font>
      <b/>
      <sz val="10"/>
      <color rgb="FFFFFFFF"/>
      <name val="微软雅黑"/>
      <family val="2"/>
      <charset val="134"/>
    </font>
    <font>
      <sz val="10"/>
      <color rgb="FF000000"/>
      <name val="微软雅黑"/>
      <family val="2"/>
      <charset val="134"/>
    </font>
    <font>
      <b/>
      <sz val="10"/>
      <color rgb="FFC00000"/>
      <name val="微软雅黑"/>
      <family val="2"/>
      <charset val="134"/>
    </font>
    <font>
      <b/>
      <sz val="10"/>
      <color rgb="FF494949"/>
      <name val="微软雅黑"/>
      <family val="2"/>
      <charset val="134"/>
    </font>
    <font>
      <b/>
      <sz val="10"/>
      <color theme="1"/>
      <name val="微软雅黑"/>
      <family val="2"/>
      <charset val="134"/>
    </font>
    <font>
      <sz val="10"/>
      <color rgb="FF494949"/>
      <name val="微软雅黑"/>
      <family val="2"/>
      <charset val="134"/>
    </font>
    <font>
      <sz val="10"/>
      <color theme="1"/>
      <name val="微软雅黑"/>
      <family val="2"/>
      <charset val="134"/>
    </font>
    <font>
      <b/>
      <sz val="10.5"/>
      <color rgb="FFFFFFFF"/>
      <name val="微软雅黑"/>
      <family val="2"/>
      <charset val="134"/>
    </font>
    <font>
      <b/>
      <sz val="10"/>
      <color theme="0"/>
      <name val="微软雅黑"/>
      <family val="2"/>
      <charset val="134"/>
    </font>
    <font>
      <b/>
      <sz val="22"/>
      <color rgb="FFFF000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8764000366222"/>
        <bgColor indexed="64"/>
      </patternFill>
    </fill>
    <fill>
      <patternFill patternType="solid">
        <fgColor theme="0" tint="-4.9989318521683403E-2"/>
        <bgColor indexed="64"/>
      </patternFill>
    </fill>
    <fill>
      <patternFill patternType="solid">
        <fgColor rgb="FFC00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Up="1">
      <left style="thin">
        <color auto="1"/>
      </left>
      <right style="thin">
        <color auto="1"/>
      </right>
      <top style="thin">
        <color auto="1"/>
      </top>
      <bottom style="thin">
        <color auto="1"/>
      </bottom>
      <diagonal style="thin">
        <color auto="1"/>
      </diagonal>
    </border>
    <border>
      <left style="thin">
        <color rgb="FF50433B"/>
      </left>
      <right style="thin">
        <color rgb="FF50433B"/>
      </right>
      <top style="thin">
        <color rgb="FF50433B"/>
      </top>
      <bottom style="thin">
        <color rgb="FF50433B"/>
      </bottom>
      <diagonal/>
    </border>
    <border>
      <left style="thin">
        <color rgb="FF50433B"/>
      </left>
      <right/>
      <top style="thin">
        <color rgb="FF50433B"/>
      </top>
      <bottom style="thin">
        <color rgb="FF50433B"/>
      </bottom>
      <diagonal/>
    </border>
    <border>
      <left/>
      <right/>
      <top style="thin">
        <color rgb="FF50433B"/>
      </top>
      <bottom style="thin">
        <color rgb="FF50433B"/>
      </bottom>
      <diagonal/>
    </border>
  </borders>
  <cellStyleXfs count="26">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2" fillId="0" borderId="0"/>
    <xf numFmtId="0" fontId="1" fillId="0" borderId="0"/>
    <xf numFmtId="9" fontId="96" fillId="0" borderId="0" applyFont="0" applyFill="0" applyBorder="0" applyAlignment="0" applyProtection="0">
      <alignment vertical="center"/>
    </xf>
    <xf numFmtId="0" fontId="54" fillId="0" borderId="0"/>
    <xf numFmtId="0" fontId="54" fillId="0" borderId="0"/>
    <xf numFmtId="43" fontId="96" fillId="0" borderId="0" applyFont="0" applyFill="0" applyBorder="0" applyAlignment="0" applyProtection="0">
      <alignment vertical="center"/>
    </xf>
    <xf numFmtId="9" fontId="54" fillId="0" borderId="0" applyFont="0" applyFill="0" applyBorder="0" applyAlignment="0" applyProtection="0">
      <alignment vertical="center"/>
    </xf>
  </cellStyleXfs>
  <cellXfs count="36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78" fillId="0" borderId="1" xfId="0" applyFont="1" applyBorder="1" applyAlignment="1" applyProtection="1">
      <alignment horizontal="center" vertical="center" wrapText="1"/>
      <protection locked="0"/>
    </xf>
    <xf numFmtId="0" fontId="272" fillId="0" borderId="0" xfId="19" applyAlignment="1">
      <alignment horizontal="left" vertical="center"/>
    </xf>
    <xf numFmtId="0" fontId="108" fillId="0" borderId="0" xfId="19" applyFont="1" applyAlignment="1">
      <alignment horizontal="left" vertical="center"/>
    </xf>
    <xf numFmtId="0" fontId="249" fillId="0" borderId="0" xfId="19" applyFont="1" applyAlignment="1">
      <alignment horizontal="left" vertical="center"/>
    </xf>
    <xf numFmtId="0" fontId="108" fillId="0" borderId="0" xfId="19" applyFont="1" applyAlignment="1">
      <alignment horizontal="left" vertical="center" wrapText="1"/>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275" fillId="0" borderId="44" xfId="0" applyFont="1" applyBorder="1" applyAlignment="1" applyProtection="1">
      <alignment horizontal="center" vertical="center" wrapText="1"/>
      <protection locked="0"/>
    </xf>
    <xf numFmtId="0" fontId="272" fillId="0" borderId="0" xfId="19" applyAlignment="1">
      <alignment horizontal="left" vertical="center" wrapText="1"/>
    </xf>
    <xf numFmtId="0" fontId="272" fillId="5" borderId="0" xfId="19" applyFill="1" applyAlignment="1">
      <alignment horizontal="left" vertical="center"/>
    </xf>
    <xf numFmtId="0" fontId="78" fillId="12" borderId="1" xfId="10" applyFont="1" applyFill="1" applyBorder="1" applyAlignment="1" applyProtection="1">
      <alignment horizontal="left" vertical="center"/>
      <protection locked="0"/>
    </xf>
    <xf numFmtId="0" fontId="48" fillId="12" borderId="1" xfId="10" applyFont="1" applyFill="1" applyBorder="1" applyAlignment="1" applyProtection="1">
      <alignment horizontal="left" vertical="center"/>
      <protection locked="0"/>
    </xf>
    <xf numFmtId="179" fontId="48" fillId="12" borderId="1" xfId="10" applyNumberFormat="1" applyFont="1" applyFill="1" applyBorder="1" applyAlignment="1" applyProtection="1">
      <alignment horizontal="left" vertical="center"/>
      <protection locked="0"/>
    </xf>
    <xf numFmtId="0" fontId="48" fillId="0" borderId="0" xfId="0" applyFont="1" applyAlignment="1" applyProtection="1">
      <alignment horizontal="left" vertical="center"/>
      <protection locked="0"/>
    </xf>
    <xf numFmtId="0" fontId="114" fillId="12" borderId="1" xfId="10" applyFont="1" applyFill="1" applyBorder="1" applyAlignment="1" applyProtection="1">
      <alignment horizontal="left" vertical="center"/>
      <protection locked="0"/>
    </xf>
    <xf numFmtId="0" fontId="99" fillId="0" borderId="0" xfId="0" applyFont="1" applyAlignment="1">
      <alignment vertical="center" wrapText="1"/>
    </xf>
    <xf numFmtId="0" fontId="0" fillId="0" borderId="1" xfId="0" applyBorder="1" applyAlignment="1">
      <alignment horizontal="left" vertical="center"/>
    </xf>
    <xf numFmtId="0" fontId="0" fillId="14" borderId="1" xfId="0" applyFill="1" applyBorder="1" applyAlignment="1">
      <alignment horizontal="left" vertical="center"/>
    </xf>
    <xf numFmtId="0" fontId="99" fillId="24" borderId="0" xfId="0" applyFont="1" applyFill="1" applyAlignment="1">
      <alignment horizontal="left" vertical="center" wrapText="1"/>
    </xf>
    <xf numFmtId="0" fontId="277" fillId="26" borderId="0" xfId="0" applyFont="1" applyFill="1" applyAlignment="1">
      <alignment horizontal="right" vertical="center" wrapText="1"/>
    </xf>
    <xf numFmtId="0" fontId="115" fillId="0" borderId="0" xfId="0" applyFont="1" applyAlignment="1">
      <alignment horizontal="left" vertical="center" wrapText="1"/>
    </xf>
    <xf numFmtId="0" fontId="99" fillId="25" borderId="0" xfId="0" applyFont="1" applyFill="1" applyAlignment="1">
      <alignment horizontal="left" vertical="center" wrapText="1"/>
    </xf>
    <xf numFmtId="0" fontId="99" fillId="23" borderId="0" xfId="0" applyFont="1" applyFill="1" applyAlignment="1">
      <alignment vertical="center" wrapText="1"/>
    </xf>
    <xf numFmtId="0" fontId="99" fillId="22" borderId="0" xfId="0" applyFont="1" applyFill="1" applyAlignment="1">
      <alignment horizontal="left" vertical="center" wrapText="1"/>
    </xf>
    <xf numFmtId="0" fontId="277" fillId="0" borderId="0" xfId="0" applyFont="1" applyAlignment="1">
      <alignment horizontal="right" vertical="center" wrapText="1"/>
    </xf>
    <xf numFmtId="0" fontId="99" fillId="26" borderId="0" xfId="0" applyFont="1" applyFill="1" applyAlignment="1">
      <alignment horizontal="left" vertical="center" wrapText="1"/>
    </xf>
    <xf numFmtId="0" fontId="99" fillId="0" borderId="0" xfId="0" applyFont="1" applyAlignment="1">
      <alignment horizontal="left" vertical="center" wrapText="1"/>
    </xf>
    <xf numFmtId="0" fontId="115" fillId="26" borderId="0" xfId="0" applyFont="1" applyFill="1" applyAlignment="1">
      <alignment horizontal="left" vertical="center" wrapText="1"/>
    </xf>
    <xf numFmtId="0" fontId="99" fillId="23" borderId="0" xfId="0" applyFont="1" applyFill="1" applyAlignment="1">
      <alignment horizontal="left" vertical="center" wrapText="1"/>
    </xf>
    <xf numFmtId="0" fontId="130" fillId="6" borderId="1" xfId="2" applyFont="1" applyFill="1" applyBorder="1" applyAlignment="1">
      <alignment horizontal="center" wrapText="1"/>
    </xf>
    <xf numFmtId="0" fontId="134" fillId="6" borderId="1" xfId="2" applyFont="1" applyFill="1" applyBorder="1" applyAlignment="1">
      <alignment horizontal="left" vertical="center" wrapText="1"/>
    </xf>
    <xf numFmtId="181" fontId="99" fillId="0" borderId="0" xfId="17" applyNumberFormat="1" applyFont="1" applyAlignment="1">
      <alignment horizontal="left" vertical="center" wrapText="1"/>
    </xf>
    <xf numFmtId="0" fontId="279" fillId="0" borderId="0" xfId="22" applyFont="1"/>
    <xf numFmtId="0" fontId="280" fillId="0" borderId="0" xfId="22" applyFont="1"/>
    <xf numFmtId="0" fontId="279" fillId="27" borderId="1" xfId="23" applyFont="1" applyFill="1" applyBorder="1" applyAlignment="1">
      <alignment horizontal="center" vertical="center"/>
    </xf>
    <xf numFmtId="0" fontId="280" fillId="0" borderId="1" xfId="23" applyFont="1" applyBorder="1" applyAlignment="1">
      <alignment horizontal="left" vertical="center"/>
    </xf>
    <xf numFmtId="181" fontId="279" fillId="0" borderId="1" xfId="24" applyNumberFormat="1" applyFont="1" applyFill="1" applyBorder="1" applyAlignment="1">
      <alignment horizontal="center" vertical="center"/>
    </xf>
    <xf numFmtId="0" fontId="281" fillId="0" borderId="1" xfId="23" applyFont="1" applyBorder="1" applyAlignment="1">
      <alignment horizontal="right" vertical="center"/>
    </xf>
    <xf numFmtId="197" fontId="280" fillId="0" borderId="1" xfId="23" applyNumberFormat="1" applyFont="1" applyBorder="1" applyAlignment="1">
      <alignment horizontal="center" vertical="center"/>
    </xf>
    <xf numFmtId="43" fontId="280" fillId="0" borderId="0" xfId="22" applyNumberFormat="1" applyFont="1"/>
    <xf numFmtId="0" fontId="279" fillId="19" borderId="1" xfId="23" applyFont="1" applyFill="1" applyBorder="1" applyAlignment="1">
      <alignment horizontal="center" vertical="center"/>
    </xf>
    <xf numFmtId="198" fontId="280" fillId="0" borderId="1" xfId="23" applyNumberFormat="1" applyFont="1" applyBorder="1" applyAlignment="1">
      <alignment horizontal="right" vertical="center"/>
    </xf>
    <xf numFmtId="10" fontId="282" fillId="28" borderId="0" xfId="25" applyNumberFormat="1" applyFont="1" applyFill="1" applyBorder="1" applyAlignment="1">
      <alignment horizontal="center" vertical="center"/>
    </xf>
    <xf numFmtId="181" fontId="280" fillId="0" borderId="1" xfId="25" applyNumberFormat="1" applyFont="1" applyBorder="1" applyAlignment="1">
      <alignment horizontal="right" vertical="center"/>
    </xf>
    <xf numFmtId="0" fontId="281" fillId="0" borderId="0" xfId="23" applyFont="1" applyAlignment="1">
      <alignment horizontal="right" vertical="center"/>
    </xf>
    <xf numFmtId="197" fontId="280" fillId="0" borderId="0" xfId="23" applyNumberFormat="1" applyFont="1" applyAlignment="1">
      <alignment horizontal="center" vertical="center"/>
    </xf>
    <xf numFmtId="0" fontId="283" fillId="29" borderId="1" xfId="22" applyFont="1" applyFill="1" applyBorder="1" applyAlignment="1">
      <alignment horizontal="center" vertical="center" wrapText="1" readingOrder="1"/>
    </xf>
    <xf numFmtId="0" fontId="283" fillId="29" borderId="1" xfId="23" applyFont="1" applyFill="1" applyBorder="1" applyAlignment="1">
      <alignment horizontal="center" vertical="center" wrapText="1" readingOrder="1"/>
    </xf>
    <xf numFmtId="0" fontId="283" fillId="29" borderId="1" xfId="22" applyFont="1" applyFill="1" applyBorder="1" applyAlignment="1">
      <alignment horizontal="left" vertical="center" wrapText="1" readingOrder="1"/>
    </xf>
    <xf numFmtId="0" fontId="280" fillId="29" borderId="1" xfId="22" applyFont="1" applyFill="1" applyBorder="1" applyAlignment="1">
      <alignment horizontal="center" vertical="center" wrapText="1"/>
    </xf>
    <xf numFmtId="9" fontId="283" fillId="29" borderId="1" xfId="22" applyNumberFormat="1" applyFont="1" applyFill="1" applyBorder="1" applyAlignment="1">
      <alignment horizontal="center" vertical="center" wrapText="1" readingOrder="1"/>
    </xf>
    <xf numFmtId="0" fontId="280" fillId="29" borderId="1" xfId="23" applyFont="1" applyFill="1" applyBorder="1" applyAlignment="1">
      <alignment horizontal="center" vertical="center" wrapText="1"/>
    </xf>
    <xf numFmtId="0" fontId="284" fillId="0" borderId="1" xfId="22" applyFont="1" applyBorder="1" applyAlignment="1">
      <alignment horizontal="left" vertical="center" wrapText="1" readingOrder="1"/>
    </xf>
    <xf numFmtId="10" fontId="284" fillId="0" borderId="1" xfId="22" applyNumberFormat="1" applyFont="1" applyBorder="1" applyAlignment="1">
      <alignment horizontal="center" vertical="center" wrapText="1" readingOrder="1"/>
    </xf>
    <xf numFmtId="181" fontId="279" fillId="0" borderId="1" xfId="22" applyNumberFormat="1" applyFont="1" applyBorder="1" applyAlignment="1">
      <alignment horizontal="center" vertical="center"/>
    </xf>
    <xf numFmtId="0" fontId="284" fillId="0" borderId="0" xfId="22" applyFont="1" applyAlignment="1">
      <alignment horizontal="left" wrapText="1" readingOrder="1"/>
    </xf>
    <xf numFmtId="10" fontId="284" fillId="0" borderId="0" xfId="22" applyNumberFormat="1" applyFont="1" applyAlignment="1">
      <alignment horizontal="center" wrapText="1" readingOrder="1"/>
    </xf>
    <xf numFmtId="0" fontId="285" fillId="0" borderId="0" xfId="22" applyFont="1"/>
    <xf numFmtId="0" fontId="286" fillId="28" borderId="1" xfId="3" applyFont="1" applyFill="1" applyBorder="1" applyAlignment="1">
      <alignment horizontal="center" vertical="center" wrapText="1"/>
    </xf>
    <xf numFmtId="9" fontId="287" fillId="28" borderId="1" xfId="25" applyFont="1" applyFill="1" applyBorder="1" applyAlignment="1" applyProtection="1">
      <alignment horizontal="center" vertical="center"/>
    </xf>
    <xf numFmtId="9" fontId="287" fillId="0" borderId="0" xfId="25" applyFont="1" applyFill="1" applyBorder="1" applyAlignment="1" applyProtection="1">
      <alignment horizontal="center" vertical="center"/>
    </xf>
    <xf numFmtId="0" fontId="288" fillId="0" borderId="1" xfId="3" applyFont="1" applyBorder="1" applyAlignment="1">
      <alignment horizontal="center" vertical="center" wrapText="1"/>
    </xf>
    <xf numFmtId="9" fontId="289" fillId="0" borderId="1" xfId="25" applyFont="1" applyFill="1" applyBorder="1" applyAlignment="1" applyProtection="1">
      <alignment horizontal="center" vertical="center"/>
    </xf>
    <xf numFmtId="9" fontId="289" fillId="0" borderId="0" xfId="25" applyFont="1" applyFill="1" applyBorder="1" applyAlignment="1" applyProtection="1">
      <alignment horizontal="center" vertical="center"/>
    </xf>
    <xf numFmtId="0" fontId="286" fillId="0" borderId="0" xfId="3" applyFont="1" applyAlignment="1">
      <alignment horizontal="center" vertical="center" wrapText="1"/>
    </xf>
    <xf numFmtId="0" fontId="288" fillId="0" borderId="0" xfId="3" applyFont="1" applyAlignment="1">
      <alignment horizontal="center" vertical="center" wrapText="1"/>
    </xf>
    <xf numFmtId="0" fontId="290" fillId="29" borderId="177" xfId="22" applyFont="1" applyFill="1" applyBorder="1" applyAlignment="1">
      <alignment horizontal="center" vertical="top" wrapText="1" readingOrder="1"/>
    </xf>
    <xf numFmtId="0" fontId="289" fillId="0" borderId="1" xfId="23" applyFont="1" applyBorder="1" applyAlignment="1">
      <alignment horizontal="center" vertical="center"/>
    </xf>
    <xf numFmtId="0" fontId="283" fillId="29" borderId="177" xfId="22" applyFont="1" applyFill="1" applyBorder="1" applyAlignment="1">
      <alignment horizontal="center" vertical="top" wrapText="1" readingOrder="1"/>
    </xf>
    <xf numFmtId="0" fontId="286" fillId="0" borderId="177" xfId="22" applyFont="1" applyBorder="1" applyAlignment="1">
      <alignment horizontal="center" vertical="top" wrapText="1" readingOrder="1"/>
    </xf>
    <xf numFmtId="10" fontId="288" fillId="0" borderId="177" xfId="22" applyNumberFormat="1" applyFont="1" applyBorder="1" applyAlignment="1">
      <alignment horizontal="center" vertical="top" wrapText="1" readingOrder="1"/>
    </xf>
    <xf numFmtId="9" fontId="288" fillId="0" borderId="177" xfId="22" applyNumberFormat="1" applyFont="1" applyBorder="1" applyAlignment="1">
      <alignment horizontal="center" vertical="top" wrapText="1" readingOrder="1"/>
    </xf>
    <xf numFmtId="0" fontId="291" fillId="29" borderId="1" xfId="23" applyFont="1" applyFill="1" applyBorder="1" applyAlignment="1">
      <alignment horizontal="center" vertical="center"/>
    </xf>
    <xf numFmtId="0" fontId="280" fillId="0" borderId="0" xfId="22" applyFont="1" applyAlignment="1">
      <alignment horizontal="center"/>
    </xf>
    <xf numFmtId="9" fontId="280" fillId="0" borderId="0" xfId="22" applyNumberFormat="1" applyFont="1"/>
    <xf numFmtId="0" fontId="280" fillId="0" borderId="1" xfId="23" applyFont="1" applyBorder="1" applyAlignment="1">
      <alignment vertical="center"/>
    </xf>
    <xf numFmtId="9" fontId="280" fillId="0" borderId="1" xfId="25" applyFont="1" applyBorder="1" applyAlignment="1">
      <alignment horizontal="center" vertical="center" wrapText="1"/>
    </xf>
    <xf numFmtId="43" fontId="280" fillId="0" borderId="1" xfId="23" applyNumberFormat="1" applyFont="1" applyBorder="1" applyAlignment="1">
      <alignment horizontal="center" vertical="center" wrapText="1"/>
    </xf>
    <xf numFmtId="43" fontId="280" fillId="0" borderId="1" xfId="23" applyNumberFormat="1" applyFont="1" applyBorder="1" applyAlignment="1">
      <alignment horizontal="center" vertical="center"/>
    </xf>
    <xf numFmtId="0" fontId="280" fillId="0" borderId="1" xfId="23" applyFont="1" applyBorder="1"/>
    <xf numFmtId="199" fontId="280" fillId="0" borderId="1" xfId="23" applyNumberFormat="1" applyFont="1" applyBorder="1" applyAlignment="1">
      <alignment horizontal="center" vertical="center" wrapText="1"/>
    </xf>
    <xf numFmtId="0" fontId="279" fillId="0" borderId="0" xfId="23" applyFont="1"/>
    <xf numFmtId="0" fontId="285" fillId="0" borderId="0" xfId="23" applyFont="1"/>
    <xf numFmtId="0" fontId="280" fillId="0" borderId="0" xfId="23" applyFont="1"/>
    <xf numFmtId="0" fontId="279" fillId="0" borderId="1" xfId="22" applyFont="1" applyBorder="1"/>
    <xf numFmtId="0" fontId="55" fillId="0" borderId="1" xfId="23" applyFont="1" applyBorder="1"/>
    <xf numFmtId="10" fontId="280" fillId="0" borderId="0" xfId="22" applyNumberFormat="1" applyFont="1"/>
    <xf numFmtId="0" fontId="292" fillId="0" borderId="0" xfId="22" applyFont="1"/>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99" fillId="0" borderId="0" xfId="0" applyFont="1" applyAlignment="1">
      <alignment horizontal="left" vertical="center" wrapText="1"/>
    </xf>
    <xf numFmtId="0" fontId="99" fillId="0" borderId="0" xfId="0" applyFont="1" applyAlignment="1">
      <alignment horizontal="center" vertical="center" wrapText="1"/>
    </xf>
    <xf numFmtId="0" fontId="115" fillId="22" borderId="0" xfId="0" applyFont="1" applyFill="1" applyAlignment="1">
      <alignment horizontal="left" vertical="center" wrapText="1"/>
    </xf>
    <xf numFmtId="0" fontId="99" fillId="22" borderId="0" xfId="0" applyFont="1" applyFill="1" applyAlignment="1">
      <alignment horizontal="left" vertical="center" wrapText="1"/>
    </xf>
    <xf numFmtId="0" fontId="99" fillId="24" borderId="0" xfId="0" applyFont="1" applyFill="1" applyAlignment="1">
      <alignment horizontal="left" vertical="center" wrapText="1"/>
    </xf>
    <xf numFmtId="0" fontId="99" fillId="25" borderId="0" xfId="0" applyFont="1" applyFill="1" applyAlignment="1">
      <alignment horizontal="left" vertical="center" wrapText="1"/>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73" fillId="0" borderId="0" xfId="19" applyFont="1" applyAlignment="1">
      <alignment horizontal="left" vertical="center" wrapText="1"/>
    </xf>
    <xf numFmtId="0" fontId="108" fillId="0" borderId="0" xfId="19" applyFont="1" applyAlignment="1">
      <alignment horizontal="left" vertical="center"/>
    </xf>
    <xf numFmtId="0" fontId="274" fillId="0" borderId="0" xfId="19" applyFont="1" applyAlignment="1">
      <alignment horizontal="left" vertical="center"/>
    </xf>
    <xf numFmtId="0" fontId="274" fillId="0" borderId="0" xfId="19" applyFont="1" applyAlignment="1">
      <alignment horizontal="left" vertical="center" wrapText="1"/>
    </xf>
    <xf numFmtId="0" fontId="108" fillId="0" borderId="0" xfId="19" applyFont="1" applyAlignment="1">
      <alignment horizontal="left" vertical="center" wrapText="1"/>
    </xf>
    <xf numFmtId="0" fontId="291" fillId="29" borderId="5" xfId="23" applyFont="1" applyFill="1" applyBorder="1" applyAlignment="1">
      <alignment horizontal="center" vertical="center"/>
    </xf>
    <xf numFmtId="0" fontId="291" fillId="29" borderId="54" xfId="23" applyFont="1" applyFill="1" applyBorder="1" applyAlignment="1">
      <alignment horizontal="center" vertical="center"/>
    </xf>
    <xf numFmtId="0" fontId="291" fillId="29" borderId="3" xfId="23" applyFont="1" applyFill="1" applyBorder="1" applyAlignment="1">
      <alignment horizontal="center" vertical="center"/>
    </xf>
    <xf numFmtId="0" fontId="55" fillId="0" borderId="176" xfId="23" applyFont="1" applyBorder="1" applyAlignment="1">
      <alignment horizontal="center"/>
    </xf>
    <xf numFmtId="0" fontId="279" fillId="27" borderId="1" xfId="23" applyFont="1" applyFill="1" applyBorder="1" applyAlignment="1">
      <alignment horizontal="center" vertical="center"/>
    </xf>
    <xf numFmtId="0" fontId="279" fillId="19" borderId="1" xfId="23" applyFont="1" applyFill="1" applyBorder="1" applyAlignment="1">
      <alignment horizontal="center" vertical="center"/>
    </xf>
    <xf numFmtId="0" fontId="283" fillId="29" borderId="178" xfId="22" applyFont="1" applyFill="1" applyBorder="1" applyAlignment="1">
      <alignment horizontal="center" vertical="top" wrapText="1" readingOrder="1"/>
    </xf>
    <xf numFmtId="0" fontId="283" fillId="29" borderId="179" xfId="22" applyFont="1" applyFill="1" applyBorder="1" applyAlignment="1">
      <alignment horizontal="center" vertical="top" wrapText="1" readingOrder="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6">
    <cellStyle name="百分比" xfId="17" builtinId="5"/>
    <cellStyle name="百分比 2" xfId="14" xr:uid="{00000000-0005-0000-0000-000001000000}"/>
    <cellStyle name="百分比 3" xfId="21" xr:uid="{00000000-0005-0000-0000-000002000000}"/>
    <cellStyle name="百分比 4" xfId="25" xr:uid="{00000000-0005-0000-0000-000003000000}"/>
    <cellStyle name="常规" xfId="0" builtinId="0"/>
    <cellStyle name="常规 10" xfId="19" xr:uid="{00000000-0005-0000-0000-000005000000}"/>
    <cellStyle name="常规 11" xfId="18" xr:uid="{00000000-0005-0000-0000-000006000000}"/>
    <cellStyle name="常规 12"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8 2" xfId="23" xr:uid="{00000000-0005-0000-0000-000016000000}"/>
    <cellStyle name="常规 9" xfId="12" xr:uid="{00000000-0005-0000-0000-000017000000}"/>
    <cellStyle name="常规 9 2" xfId="20" xr:uid="{00000000-0005-0000-0000-000018000000}"/>
    <cellStyle name="千位分隔 2" xfId="24" xr:uid="{00000000-0005-0000-0000-000019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15</xdr:row>
      <xdr:rowOff>142875</xdr:rowOff>
    </xdr:from>
    <xdr:to>
      <xdr:col>6</xdr:col>
      <xdr:colOff>546767</xdr:colOff>
      <xdr:row>45</xdr:row>
      <xdr:rowOff>114300</xdr:rowOff>
    </xdr:to>
    <xdr:grpSp>
      <xdr:nvGrpSpPr>
        <xdr:cNvPr id="4" name="组合 3">
          <a:extLst>
            <a:ext uri="{FF2B5EF4-FFF2-40B4-BE49-F238E27FC236}">
              <a16:creationId xmlns:a16="http://schemas.microsoft.com/office/drawing/2014/main" id="{B6448C74-1D76-7B5E-CDAE-F71A82C73A61}"/>
            </a:ext>
          </a:extLst>
        </xdr:cNvPr>
        <xdr:cNvGrpSpPr/>
      </xdr:nvGrpSpPr>
      <xdr:grpSpPr>
        <a:xfrm>
          <a:off x="0" y="2714625"/>
          <a:ext cx="5099717" cy="5114925"/>
          <a:chOff x="0" y="2714625"/>
          <a:chExt cx="5099717" cy="5114925"/>
        </a:xfrm>
      </xdr:grpSpPr>
      <xdr:pic>
        <xdr:nvPicPr>
          <xdr:cNvPr id="2" name="图片 1">
            <a:extLst>
              <a:ext uri="{FF2B5EF4-FFF2-40B4-BE49-F238E27FC236}">
                <a16:creationId xmlns:a16="http://schemas.microsoft.com/office/drawing/2014/main" id="{16F8402E-83FB-24C7-3A70-406FE6773212}"/>
              </a:ext>
            </a:extLst>
          </xdr:cNvPr>
          <xdr:cNvPicPr>
            <a:picLocks noChangeAspect="1"/>
          </xdr:cNvPicPr>
        </xdr:nvPicPr>
        <xdr:blipFill>
          <a:blip xmlns:r="http://schemas.openxmlformats.org/officeDocument/2006/relationships" r:embed="rId1"/>
          <a:stretch>
            <a:fillRect/>
          </a:stretch>
        </xdr:blipFill>
        <xdr:spPr>
          <a:xfrm>
            <a:off x="0" y="2714625"/>
            <a:ext cx="5085714" cy="2409524"/>
          </a:xfrm>
          <a:prstGeom prst="rect">
            <a:avLst/>
          </a:prstGeom>
        </xdr:spPr>
      </xdr:pic>
      <xdr:pic>
        <xdr:nvPicPr>
          <xdr:cNvPr id="3" name="图片 2">
            <a:extLst>
              <a:ext uri="{FF2B5EF4-FFF2-40B4-BE49-F238E27FC236}">
                <a16:creationId xmlns:a16="http://schemas.microsoft.com/office/drawing/2014/main" id="{DFC5F463-737B-F314-EED4-5FE689BBA29E}"/>
              </a:ext>
            </a:extLst>
          </xdr:cNvPr>
          <xdr:cNvPicPr>
            <a:picLocks noChangeAspect="1"/>
          </xdr:cNvPicPr>
        </xdr:nvPicPr>
        <xdr:blipFill>
          <a:blip xmlns:r="http://schemas.openxmlformats.org/officeDocument/2006/relationships" r:embed="rId2"/>
          <a:stretch>
            <a:fillRect/>
          </a:stretch>
        </xdr:blipFill>
        <xdr:spPr>
          <a:xfrm>
            <a:off x="0" y="5095875"/>
            <a:ext cx="5099717" cy="27336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9128</xdr:rowOff>
    </xdr:from>
    <xdr:to>
      <xdr:col>10</xdr:col>
      <xdr:colOff>826961</xdr:colOff>
      <xdr:row>50</xdr:row>
      <xdr:rowOff>151520</xdr:rowOff>
    </xdr:to>
    <xdr:pic>
      <xdr:nvPicPr>
        <xdr:cNvPr id="3" name="图片 2">
          <a:extLst>
            <a:ext uri="{FF2B5EF4-FFF2-40B4-BE49-F238E27FC236}">
              <a16:creationId xmlns:a16="http://schemas.microsoft.com/office/drawing/2014/main" id="{4CF07BE2-88D0-3BDE-A794-4D98C93F5346}"/>
            </a:ext>
          </a:extLst>
        </xdr:cNvPr>
        <xdr:cNvPicPr>
          <a:picLocks noChangeAspect="1"/>
        </xdr:cNvPicPr>
      </xdr:nvPicPr>
      <xdr:blipFill>
        <a:blip xmlns:r="http://schemas.openxmlformats.org/officeDocument/2006/relationships" r:embed="rId1"/>
        <a:stretch>
          <a:fillRect/>
        </a:stretch>
      </xdr:blipFill>
      <xdr:spPr>
        <a:xfrm>
          <a:off x="0" y="4581128"/>
          <a:ext cx="10856786" cy="5571642"/>
        </a:xfrm>
        <a:prstGeom prst="rect">
          <a:avLst/>
        </a:prstGeom>
      </xdr:spPr>
    </xdr:pic>
    <xdr:clientData/>
  </xdr:twoCellAnchor>
  <xdr:twoCellAnchor editAs="oneCell">
    <xdr:from>
      <xdr:col>0</xdr:col>
      <xdr:colOff>0</xdr:colOff>
      <xdr:row>56</xdr:row>
      <xdr:rowOff>9525</xdr:rowOff>
    </xdr:from>
    <xdr:to>
      <xdr:col>9</xdr:col>
      <xdr:colOff>666307</xdr:colOff>
      <xdr:row>76</xdr:row>
      <xdr:rowOff>95251</xdr:rowOff>
    </xdr:to>
    <xdr:pic>
      <xdr:nvPicPr>
        <xdr:cNvPr id="4" name="图片 3">
          <a:extLst>
            <a:ext uri="{FF2B5EF4-FFF2-40B4-BE49-F238E27FC236}">
              <a16:creationId xmlns:a16="http://schemas.microsoft.com/office/drawing/2014/main" id="{61CB1C79-3469-80F3-7788-0C2E3E674615}"/>
            </a:ext>
          </a:extLst>
        </xdr:cNvPr>
        <xdr:cNvPicPr>
          <a:picLocks noChangeAspect="1"/>
        </xdr:cNvPicPr>
      </xdr:nvPicPr>
      <xdr:blipFill>
        <a:blip xmlns:r="http://schemas.openxmlformats.org/officeDocument/2006/relationships" r:embed="rId2"/>
        <a:stretch>
          <a:fillRect/>
        </a:stretch>
      </xdr:blipFill>
      <xdr:spPr>
        <a:xfrm>
          <a:off x="0" y="11096625"/>
          <a:ext cx="9791257" cy="3705226"/>
        </a:xfrm>
        <a:prstGeom prst="rect">
          <a:avLst/>
        </a:prstGeom>
      </xdr:spPr>
    </xdr:pic>
    <xdr:clientData/>
  </xdr:twoCellAnchor>
  <xdr:twoCellAnchor editAs="oneCell">
    <xdr:from>
      <xdr:col>9</xdr:col>
      <xdr:colOff>381000</xdr:colOff>
      <xdr:row>47</xdr:row>
      <xdr:rowOff>152400</xdr:rowOff>
    </xdr:from>
    <xdr:to>
      <xdr:col>21</xdr:col>
      <xdr:colOff>569972</xdr:colOff>
      <xdr:row>76</xdr:row>
      <xdr:rowOff>77403</xdr:rowOff>
    </xdr:to>
    <xdr:pic>
      <xdr:nvPicPr>
        <xdr:cNvPr id="5" name="图片 4">
          <a:extLst>
            <a:ext uri="{FF2B5EF4-FFF2-40B4-BE49-F238E27FC236}">
              <a16:creationId xmlns:a16="http://schemas.microsoft.com/office/drawing/2014/main" id="{2B055C77-43F6-9C89-3770-E3058FF991FF}"/>
            </a:ext>
          </a:extLst>
        </xdr:cNvPr>
        <xdr:cNvPicPr>
          <a:picLocks noChangeAspect="1"/>
        </xdr:cNvPicPr>
      </xdr:nvPicPr>
      <xdr:blipFill>
        <a:blip xmlns:r="http://schemas.openxmlformats.org/officeDocument/2006/relationships" r:embed="rId3"/>
        <a:stretch>
          <a:fillRect/>
        </a:stretch>
      </xdr:blipFill>
      <xdr:spPr>
        <a:xfrm>
          <a:off x="9505950" y="9610725"/>
          <a:ext cx="10552172" cy="5173278"/>
        </a:xfrm>
        <a:prstGeom prst="rect">
          <a:avLst/>
        </a:prstGeom>
      </xdr:spPr>
    </xdr:pic>
    <xdr:clientData/>
  </xdr:twoCellAnchor>
  <xdr:twoCellAnchor editAs="oneCell">
    <xdr:from>
      <xdr:col>6</xdr:col>
      <xdr:colOff>31054</xdr:colOff>
      <xdr:row>63</xdr:row>
      <xdr:rowOff>152400</xdr:rowOff>
    </xdr:from>
    <xdr:to>
      <xdr:col>9</xdr:col>
      <xdr:colOff>370779</xdr:colOff>
      <xdr:row>76</xdr:row>
      <xdr:rowOff>152400</xdr:rowOff>
    </xdr:to>
    <xdr:pic>
      <xdr:nvPicPr>
        <xdr:cNvPr id="6" name="图片 5">
          <a:extLst>
            <a:ext uri="{FF2B5EF4-FFF2-40B4-BE49-F238E27FC236}">
              <a16:creationId xmlns:a16="http://schemas.microsoft.com/office/drawing/2014/main" id="{9F21EE1F-5C33-734D-6608-1CAF4F3D5A3E}"/>
            </a:ext>
          </a:extLst>
        </xdr:cNvPr>
        <xdr:cNvPicPr>
          <a:picLocks noChangeAspect="1"/>
        </xdr:cNvPicPr>
      </xdr:nvPicPr>
      <xdr:blipFill>
        <a:blip xmlns:r="http://schemas.openxmlformats.org/officeDocument/2006/relationships" r:embed="rId4"/>
        <a:stretch>
          <a:fillRect/>
        </a:stretch>
      </xdr:blipFill>
      <xdr:spPr>
        <a:xfrm>
          <a:off x="5574604" y="12506325"/>
          <a:ext cx="3921125" cy="2352675"/>
        </a:xfrm>
        <a:prstGeom prst="rect">
          <a:avLst/>
        </a:prstGeom>
      </xdr:spPr>
    </xdr:pic>
    <xdr:clientData/>
  </xdr:twoCellAnchor>
  <xdr:twoCellAnchor editAs="oneCell">
    <xdr:from>
      <xdr:col>0</xdr:col>
      <xdr:colOff>0</xdr:colOff>
      <xdr:row>79</xdr:row>
      <xdr:rowOff>114300</xdr:rowOff>
    </xdr:from>
    <xdr:to>
      <xdr:col>9</xdr:col>
      <xdr:colOff>865109</xdr:colOff>
      <xdr:row>108</xdr:row>
      <xdr:rowOff>113483</xdr:rowOff>
    </xdr:to>
    <xdr:pic>
      <xdr:nvPicPr>
        <xdr:cNvPr id="7" name="图片 6">
          <a:extLst>
            <a:ext uri="{FF2B5EF4-FFF2-40B4-BE49-F238E27FC236}">
              <a16:creationId xmlns:a16="http://schemas.microsoft.com/office/drawing/2014/main" id="{CBC9D0A2-ED4F-2E7C-942B-C4F02F55E190}"/>
            </a:ext>
          </a:extLst>
        </xdr:cNvPr>
        <xdr:cNvPicPr>
          <a:picLocks noChangeAspect="1"/>
        </xdr:cNvPicPr>
      </xdr:nvPicPr>
      <xdr:blipFill>
        <a:blip xmlns:r="http://schemas.openxmlformats.org/officeDocument/2006/relationships" r:embed="rId5"/>
        <a:stretch>
          <a:fillRect/>
        </a:stretch>
      </xdr:blipFill>
      <xdr:spPr>
        <a:xfrm>
          <a:off x="0" y="15363825"/>
          <a:ext cx="9990059" cy="5247458"/>
        </a:xfrm>
        <a:prstGeom prst="rect">
          <a:avLst/>
        </a:prstGeom>
      </xdr:spPr>
    </xdr:pic>
    <xdr:clientData/>
  </xdr:twoCellAnchor>
  <xdr:twoCellAnchor editAs="oneCell">
    <xdr:from>
      <xdr:col>9</xdr:col>
      <xdr:colOff>533400</xdr:colOff>
      <xdr:row>79</xdr:row>
      <xdr:rowOff>57150</xdr:rowOff>
    </xdr:from>
    <xdr:to>
      <xdr:col>24</xdr:col>
      <xdr:colOff>303276</xdr:colOff>
      <xdr:row>94</xdr:row>
      <xdr:rowOff>180620</xdr:rowOff>
    </xdr:to>
    <xdr:pic>
      <xdr:nvPicPr>
        <xdr:cNvPr id="8" name="图片 7">
          <a:extLst>
            <a:ext uri="{FF2B5EF4-FFF2-40B4-BE49-F238E27FC236}">
              <a16:creationId xmlns:a16="http://schemas.microsoft.com/office/drawing/2014/main" id="{56094B58-390B-6EE5-B686-B5C60E65ED82}"/>
            </a:ext>
          </a:extLst>
        </xdr:cNvPr>
        <xdr:cNvPicPr>
          <a:picLocks noChangeAspect="1"/>
        </xdr:cNvPicPr>
      </xdr:nvPicPr>
      <xdr:blipFill>
        <a:blip xmlns:r="http://schemas.openxmlformats.org/officeDocument/2006/relationships" r:embed="rId6"/>
        <a:stretch>
          <a:fillRect/>
        </a:stretch>
      </xdr:blipFill>
      <xdr:spPr>
        <a:xfrm>
          <a:off x="9658350" y="15306675"/>
          <a:ext cx="12190476" cy="2838095"/>
        </a:xfrm>
        <a:prstGeom prst="rect">
          <a:avLst/>
        </a:prstGeom>
      </xdr:spPr>
    </xdr:pic>
    <xdr:clientData/>
  </xdr:twoCellAnchor>
  <xdr:twoCellAnchor editAs="oneCell">
    <xdr:from>
      <xdr:col>5</xdr:col>
      <xdr:colOff>266700</xdr:colOff>
      <xdr:row>90</xdr:row>
      <xdr:rowOff>95250</xdr:rowOff>
    </xdr:from>
    <xdr:to>
      <xdr:col>9</xdr:col>
      <xdr:colOff>637434</xdr:colOff>
      <xdr:row>107</xdr:row>
      <xdr:rowOff>41000</xdr:rowOff>
    </xdr:to>
    <xdr:pic>
      <xdr:nvPicPr>
        <xdr:cNvPr id="9" name="图片 8">
          <a:extLst>
            <a:ext uri="{FF2B5EF4-FFF2-40B4-BE49-F238E27FC236}">
              <a16:creationId xmlns:a16="http://schemas.microsoft.com/office/drawing/2014/main" id="{42C85270-C4A8-E6FB-D9E7-BEEA4D164C98}"/>
            </a:ext>
          </a:extLst>
        </xdr:cNvPr>
        <xdr:cNvPicPr>
          <a:picLocks noChangeAspect="1"/>
        </xdr:cNvPicPr>
      </xdr:nvPicPr>
      <xdr:blipFill>
        <a:blip xmlns:r="http://schemas.openxmlformats.org/officeDocument/2006/relationships" r:embed="rId7"/>
        <a:stretch>
          <a:fillRect/>
        </a:stretch>
      </xdr:blipFill>
      <xdr:spPr>
        <a:xfrm>
          <a:off x="4991100" y="17335500"/>
          <a:ext cx="4771284" cy="3022325"/>
        </a:xfrm>
        <a:prstGeom prst="rect">
          <a:avLst/>
        </a:prstGeom>
      </xdr:spPr>
    </xdr:pic>
    <xdr:clientData/>
  </xdr:twoCellAnchor>
  <xdr:twoCellAnchor editAs="oneCell">
    <xdr:from>
      <xdr:col>0</xdr:col>
      <xdr:colOff>0</xdr:colOff>
      <xdr:row>110</xdr:row>
      <xdr:rowOff>171450</xdr:rowOff>
    </xdr:from>
    <xdr:to>
      <xdr:col>10</xdr:col>
      <xdr:colOff>43305</xdr:colOff>
      <xdr:row>138</xdr:row>
      <xdr:rowOff>113532</xdr:rowOff>
    </xdr:to>
    <xdr:pic>
      <xdr:nvPicPr>
        <xdr:cNvPr id="10" name="图片 9">
          <a:extLst>
            <a:ext uri="{FF2B5EF4-FFF2-40B4-BE49-F238E27FC236}">
              <a16:creationId xmlns:a16="http://schemas.microsoft.com/office/drawing/2014/main" id="{8C8908BF-2ADB-9FD1-3780-B1BC6244ADCF}"/>
            </a:ext>
          </a:extLst>
        </xdr:cNvPr>
        <xdr:cNvPicPr>
          <a:picLocks noChangeAspect="1"/>
        </xdr:cNvPicPr>
      </xdr:nvPicPr>
      <xdr:blipFill>
        <a:blip xmlns:r="http://schemas.openxmlformats.org/officeDocument/2006/relationships" r:embed="rId8"/>
        <a:stretch>
          <a:fillRect/>
        </a:stretch>
      </xdr:blipFill>
      <xdr:spPr>
        <a:xfrm>
          <a:off x="0" y="21031200"/>
          <a:ext cx="10073130" cy="5009382"/>
        </a:xfrm>
        <a:prstGeom prst="rect">
          <a:avLst/>
        </a:prstGeom>
      </xdr:spPr>
    </xdr:pic>
    <xdr:clientData/>
  </xdr:twoCellAnchor>
  <xdr:twoCellAnchor editAs="oneCell">
    <xdr:from>
      <xdr:col>10</xdr:col>
      <xdr:colOff>0</xdr:colOff>
      <xdr:row>110</xdr:row>
      <xdr:rowOff>161925</xdr:rowOff>
    </xdr:from>
    <xdr:to>
      <xdr:col>23</xdr:col>
      <xdr:colOff>131796</xdr:colOff>
      <xdr:row>140</xdr:row>
      <xdr:rowOff>116938</xdr:rowOff>
    </xdr:to>
    <xdr:pic>
      <xdr:nvPicPr>
        <xdr:cNvPr id="11" name="图片 10">
          <a:extLst>
            <a:ext uri="{FF2B5EF4-FFF2-40B4-BE49-F238E27FC236}">
              <a16:creationId xmlns:a16="http://schemas.microsoft.com/office/drawing/2014/main" id="{DC9AD6FA-7E2F-A666-1CF1-4705433E24AD}"/>
            </a:ext>
          </a:extLst>
        </xdr:cNvPr>
        <xdr:cNvPicPr>
          <a:picLocks noChangeAspect="1"/>
        </xdr:cNvPicPr>
      </xdr:nvPicPr>
      <xdr:blipFill>
        <a:blip xmlns:r="http://schemas.openxmlformats.org/officeDocument/2006/relationships" r:embed="rId9"/>
        <a:stretch>
          <a:fillRect/>
        </a:stretch>
      </xdr:blipFill>
      <xdr:spPr>
        <a:xfrm>
          <a:off x="10029825" y="21021675"/>
          <a:ext cx="10961721" cy="5384263"/>
        </a:xfrm>
        <a:prstGeom prst="rect">
          <a:avLst/>
        </a:prstGeom>
      </xdr:spPr>
    </xdr:pic>
    <xdr:clientData/>
  </xdr:twoCellAnchor>
  <xdr:twoCellAnchor editAs="oneCell">
    <xdr:from>
      <xdr:col>6</xdr:col>
      <xdr:colOff>368196</xdr:colOff>
      <xdr:row>121</xdr:row>
      <xdr:rowOff>85725</xdr:rowOff>
    </xdr:from>
    <xdr:to>
      <xdr:col>9</xdr:col>
      <xdr:colOff>904262</xdr:colOff>
      <xdr:row>138</xdr:row>
      <xdr:rowOff>95250</xdr:rowOff>
    </xdr:to>
    <xdr:pic>
      <xdr:nvPicPr>
        <xdr:cNvPr id="12" name="图片 11">
          <a:extLst>
            <a:ext uri="{FF2B5EF4-FFF2-40B4-BE49-F238E27FC236}">
              <a16:creationId xmlns:a16="http://schemas.microsoft.com/office/drawing/2014/main" id="{7CFFC389-14F6-6D64-A987-A895308DB6FE}"/>
            </a:ext>
          </a:extLst>
        </xdr:cNvPr>
        <xdr:cNvPicPr>
          <a:picLocks noChangeAspect="1"/>
        </xdr:cNvPicPr>
      </xdr:nvPicPr>
      <xdr:blipFill>
        <a:blip xmlns:r="http://schemas.openxmlformats.org/officeDocument/2006/relationships" r:embed="rId10"/>
        <a:stretch>
          <a:fillRect/>
        </a:stretch>
      </xdr:blipFill>
      <xdr:spPr>
        <a:xfrm>
          <a:off x="5911746" y="22936200"/>
          <a:ext cx="4117466" cy="3086100"/>
        </a:xfrm>
        <a:prstGeom prst="rect">
          <a:avLst/>
        </a:prstGeom>
      </xdr:spPr>
    </xdr:pic>
    <xdr:clientData/>
  </xdr:twoCellAnchor>
  <xdr:twoCellAnchor>
    <xdr:from>
      <xdr:col>0</xdr:col>
      <xdr:colOff>1733551</xdr:colOff>
      <xdr:row>27</xdr:row>
      <xdr:rowOff>85724</xdr:rowOff>
    </xdr:from>
    <xdr:to>
      <xdr:col>2</xdr:col>
      <xdr:colOff>1</xdr:colOff>
      <xdr:row>29</xdr:row>
      <xdr:rowOff>19049</xdr:rowOff>
    </xdr:to>
    <xdr:sp macro="" textlink="">
      <xdr:nvSpPr>
        <xdr:cNvPr id="2" name="对话气泡: 圆角矩形 1">
          <a:extLst>
            <a:ext uri="{FF2B5EF4-FFF2-40B4-BE49-F238E27FC236}">
              <a16:creationId xmlns:a16="http://schemas.microsoft.com/office/drawing/2014/main" id="{67751506-D68C-0787-9BE2-7E7C41319968}"/>
            </a:ext>
          </a:extLst>
        </xdr:cNvPr>
        <xdr:cNvSpPr/>
      </xdr:nvSpPr>
      <xdr:spPr>
        <a:xfrm>
          <a:off x="1733551" y="5924549"/>
          <a:ext cx="781050" cy="295275"/>
        </a:xfrm>
        <a:prstGeom prst="wedgeRoundRectCallout">
          <a:avLst>
            <a:gd name="adj1" fmla="val -34517"/>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估价对象</a:t>
          </a:r>
        </a:p>
      </xdr:txBody>
    </xdr:sp>
    <xdr:clientData/>
  </xdr:twoCellAnchor>
  <xdr:twoCellAnchor>
    <xdr:from>
      <xdr:col>5</xdr:col>
      <xdr:colOff>161925</xdr:colOff>
      <xdr:row>29</xdr:row>
      <xdr:rowOff>161528</xdr:rowOff>
    </xdr:from>
    <xdr:to>
      <xdr:col>6</xdr:col>
      <xdr:colOff>123825</xdr:colOff>
      <xdr:row>31</xdr:row>
      <xdr:rowOff>94853</xdr:rowOff>
    </xdr:to>
    <xdr:sp macro="" textlink="">
      <xdr:nvSpPr>
        <xdr:cNvPr id="13" name="对话气泡: 圆角矩形 12">
          <a:extLst>
            <a:ext uri="{FF2B5EF4-FFF2-40B4-BE49-F238E27FC236}">
              <a16:creationId xmlns:a16="http://schemas.microsoft.com/office/drawing/2014/main" id="{71CA3A89-6935-4129-BCE2-DB83AC4316BC}"/>
            </a:ext>
          </a:extLst>
        </xdr:cNvPr>
        <xdr:cNvSpPr/>
      </xdr:nvSpPr>
      <xdr:spPr>
        <a:xfrm>
          <a:off x="4886325" y="6362303"/>
          <a:ext cx="781050" cy="295275"/>
        </a:xfrm>
        <a:prstGeom prst="wedgeRoundRectCallout">
          <a:avLst>
            <a:gd name="adj1" fmla="val 36214"/>
            <a:gd name="adj2" fmla="val 93916"/>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A</a:t>
          </a:r>
          <a:endParaRPr lang="zh-CN" altLang="en-US" sz="1100">
            <a:solidFill>
              <a:sysClr val="windowText" lastClr="000000"/>
            </a:solidFill>
          </a:endParaRPr>
        </a:p>
      </xdr:txBody>
    </xdr:sp>
    <xdr:clientData/>
  </xdr:twoCellAnchor>
  <xdr:twoCellAnchor>
    <xdr:from>
      <xdr:col>7</xdr:col>
      <xdr:colOff>542925</xdr:colOff>
      <xdr:row>34</xdr:row>
      <xdr:rowOff>171053</xdr:rowOff>
    </xdr:from>
    <xdr:to>
      <xdr:col>8</xdr:col>
      <xdr:colOff>381000</xdr:colOff>
      <xdr:row>36</xdr:row>
      <xdr:rowOff>104378</xdr:rowOff>
    </xdr:to>
    <xdr:sp macro="" textlink="">
      <xdr:nvSpPr>
        <xdr:cNvPr id="14" name="对话气泡: 圆角矩形 13">
          <a:extLst>
            <a:ext uri="{FF2B5EF4-FFF2-40B4-BE49-F238E27FC236}">
              <a16:creationId xmlns:a16="http://schemas.microsoft.com/office/drawing/2014/main" id="{99E845EF-F53B-4684-8A20-FB4BC198468A}"/>
            </a:ext>
          </a:extLst>
        </xdr:cNvPr>
        <xdr:cNvSpPr/>
      </xdr:nvSpPr>
      <xdr:spPr>
        <a:xfrm>
          <a:off x="6867525" y="7276703"/>
          <a:ext cx="781050" cy="295275"/>
        </a:xfrm>
        <a:prstGeom prst="wedgeRoundRectCallout">
          <a:avLst>
            <a:gd name="adj1" fmla="val 47190"/>
            <a:gd name="adj2" fmla="val 97142"/>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C</a:t>
          </a:r>
          <a:endParaRPr lang="zh-CN" altLang="en-US" sz="1100">
            <a:solidFill>
              <a:sysClr val="windowText" lastClr="000000"/>
            </a:solidFill>
          </a:endParaRPr>
        </a:p>
      </xdr:txBody>
    </xdr:sp>
    <xdr:clientData/>
  </xdr:twoCellAnchor>
  <xdr:twoCellAnchor>
    <xdr:from>
      <xdr:col>6</xdr:col>
      <xdr:colOff>504825</xdr:colOff>
      <xdr:row>39</xdr:row>
      <xdr:rowOff>132953</xdr:rowOff>
    </xdr:from>
    <xdr:to>
      <xdr:col>7</xdr:col>
      <xdr:colOff>504825</xdr:colOff>
      <xdr:row>41</xdr:row>
      <xdr:rowOff>66278</xdr:rowOff>
    </xdr:to>
    <xdr:sp macro="" textlink="">
      <xdr:nvSpPr>
        <xdr:cNvPr id="15" name="对话气泡: 圆角矩形 14">
          <a:extLst>
            <a:ext uri="{FF2B5EF4-FFF2-40B4-BE49-F238E27FC236}">
              <a16:creationId xmlns:a16="http://schemas.microsoft.com/office/drawing/2014/main" id="{50DF0301-651F-4CDE-86EE-40700D04A71D}"/>
            </a:ext>
          </a:extLst>
        </xdr:cNvPr>
        <xdr:cNvSpPr/>
      </xdr:nvSpPr>
      <xdr:spPr>
        <a:xfrm>
          <a:off x="6048375" y="8143478"/>
          <a:ext cx="781050" cy="295275"/>
        </a:xfrm>
        <a:prstGeom prst="wedgeRoundRectCallout">
          <a:avLst>
            <a:gd name="adj1" fmla="val 33776"/>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B</a:t>
          </a:r>
          <a:endParaRPr lang="zh-CN"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95249</xdr:rowOff>
    </xdr:from>
    <xdr:to>
      <xdr:col>9</xdr:col>
      <xdr:colOff>37980</xdr:colOff>
      <xdr:row>36</xdr:row>
      <xdr:rowOff>170586</xdr:rowOff>
    </xdr:to>
    <xdr:pic>
      <xdr:nvPicPr>
        <xdr:cNvPr id="2" name="图片 1">
          <a:extLst>
            <a:ext uri="{FF2B5EF4-FFF2-40B4-BE49-F238E27FC236}">
              <a16:creationId xmlns:a16="http://schemas.microsoft.com/office/drawing/2014/main" id="{8BBD22E5-610C-EC16-EFC8-B7C8941F4C17}"/>
            </a:ext>
          </a:extLst>
        </xdr:cNvPr>
        <xdr:cNvPicPr>
          <a:picLocks noChangeAspect="1"/>
        </xdr:cNvPicPr>
      </xdr:nvPicPr>
      <xdr:blipFill>
        <a:blip xmlns:r="http://schemas.openxmlformats.org/officeDocument/2006/relationships" r:embed="rId1"/>
        <a:stretch>
          <a:fillRect/>
        </a:stretch>
      </xdr:blipFill>
      <xdr:spPr>
        <a:xfrm>
          <a:off x="0" y="266699"/>
          <a:ext cx="6210180" cy="6076087"/>
        </a:xfrm>
        <a:prstGeom prst="rect">
          <a:avLst/>
        </a:prstGeom>
      </xdr:spPr>
    </xdr:pic>
    <xdr:clientData/>
  </xdr:twoCellAnchor>
  <xdr:twoCellAnchor editAs="oneCell">
    <xdr:from>
      <xdr:col>9</xdr:col>
      <xdr:colOff>19050</xdr:colOff>
      <xdr:row>5</xdr:row>
      <xdr:rowOff>123825</xdr:rowOff>
    </xdr:from>
    <xdr:to>
      <xdr:col>12</xdr:col>
      <xdr:colOff>342602</xdr:colOff>
      <xdr:row>23</xdr:row>
      <xdr:rowOff>37725</xdr:rowOff>
    </xdr:to>
    <xdr:pic>
      <xdr:nvPicPr>
        <xdr:cNvPr id="3" name="图片 2">
          <a:extLst>
            <a:ext uri="{FF2B5EF4-FFF2-40B4-BE49-F238E27FC236}">
              <a16:creationId xmlns:a16="http://schemas.microsoft.com/office/drawing/2014/main" id="{2C3BDB10-E976-EAE5-591B-38EA98F7F0B6}"/>
            </a:ext>
          </a:extLst>
        </xdr:cNvPr>
        <xdr:cNvPicPr>
          <a:picLocks noChangeAspect="1"/>
        </xdr:cNvPicPr>
      </xdr:nvPicPr>
      <xdr:blipFill>
        <a:blip xmlns:r="http://schemas.openxmlformats.org/officeDocument/2006/relationships" r:embed="rId2"/>
        <a:stretch>
          <a:fillRect/>
        </a:stretch>
      </xdr:blipFill>
      <xdr:spPr>
        <a:xfrm>
          <a:off x="6191250" y="981075"/>
          <a:ext cx="2380952" cy="3000000"/>
        </a:xfrm>
        <a:prstGeom prst="rect">
          <a:avLst/>
        </a:prstGeom>
      </xdr:spPr>
    </xdr:pic>
    <xdr:clientData/>
  </xdr:twoCellAnchor>
  <xdr:twoCellAnchor>
    <xdr:from>
      <xdr:col>9</xdr:col>
      <xdr:colOff>628650</xdr:colOff>
      <xdr:row>16</xdr:row>
      <xdr:rowOff>66675</xdr:rowOff>
    </xdr:from>
    <xdr:to>
      <xdr:col>11</xdr:col>
      <xdr:colOff>657225</xdr:colOff>
      <xdr:row>19</xdr:row>
      <xdr:rowOff>161925</xdr:rowOff>
    </xdr:to>
    <xdr:sp macro="" textlink="">
      <xdr:nvSpPr>
        <xdr:cNvPr id="4" name="流程图: 过程 3">
          <a:extLst>
            <a:ext uri="{FF2B5EF4-FFF2-40B4-BE49-F238E27FC236}">
              <a16:creationId xmlns:a16="http://schemas.microsoft.com/office/drawing/2014/main" id="{27969539-6ECA-C5DB-011F-3569213F3D51}"/>
            </a:ext>
          </a:extLst>
        </xdr:cNvPr>
        <xdr:cNvSpPr/>
      </xdr:nvSpPr>
      <xdr:spPr>
        <a:xfrm>
          <a:off x="6800850" y="2809875"/>
          <a:ext cx="1400175" cy="6096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552450</xdr:colOff>
      <xdr:row>3</xdr:row>
      <xdr:rowOff>152400</xdr:rowOff>
    </xdr:from>
    <xdr:to>
      <xdr:col>18</xdr:col>
      <xdr:colOff>256698</xdr:colOff>
      <xdr:row>24</xdr:row>
      <xdr:rowOff>85283</xdr:rowOff>
    </xdr:to>
    <xdr:pic>
      <xdr:nvPicPr>
        <xdr:cNvPr id="5" name="图片 4">
          <a:extLst>
            <a:ext uri="{FF2B5EF4-FFF2-40B4-BE49-F238E27FC236}">
              <a16:creationId xmlns:a16="http://schemas.microsoft.com/office/drawing/2014/main" id="{F4D35AFC-350C-F45D-E733-7769533DA65F}"/>
            </a:ext>
          </a:extLst>
        </xdr:cNvPr>
        <xdr:cNvPicPr>
          <a:picLocks noChangeAspect="1"/>
        </xdr:cNvPicPr>
      </xdr:nvPicPr>
      <xdr:blipFill>
        <a:blip xmlns:r="http://schemas.openxmlformats.org/officeDocument/2006/relationships" r:embed="rId3"/>
        <a:stretch>
          <a:fillRect/>
        </a:stretch>
      </xdr:blipFill>
      <xdr:spPr>
        <a:xfrm>
          <a:off x="8782050" y="666750"/>
          <a:ext cx="3819048" cy="3533333"/>
        </a:xfrm>
        <a:prstGeom prst="rect">
          <a:avLst/>
        </a:prstGeom>
      </xdr:spPr>
    </xdr:pic>
    <xdr:clientData/>
  </xdr:twoCellAnchor>
  <xdr:twoCellAnchor editAs="oneCell">
    <xdr:from>
      <xdr:col>18</xdr:col>
      <xdr:colOff>133350</xdr:colOff>
      <xdr:row>3</xdr:row>
      <xdr:rowOff>66675</xdr:rowOff>
    </xdr:from>
    <xdr:to>
      <xdr:col>23</xdr:col>
      <xdr:colOff>647207</xdr:colOff>
      <xdr:row>24</xdr:row>
      <xdr:rowOff>66225</xdr:rowOff>
    </xdr:to>
    <xdr:pic>
      <xdr:nvPicPr>
        <xdr:cNvPr id="6" name="图片 5">
          <a:extLst>
            <a:ext uri="{FF2B5EF4-FFF2-40B4-BE49-F238E27FC236}">
              <a16:creationId xmlns:a16="http://schemas.microsoft.com/office/drawing/2014/main" id="{B04DB4FC-14CE-889B-3676-0D032B2856A6}"/>
            </a:ext>
          </a:extLst>
        </xdr:cNvPr>
        <xdr:cNvPicPr>
          <a:picLocks noChangeAspect="1"/>
        </xdr:cNvPicPr>
      </xdr:nvPicPr>
      <xdr:blipFill>
        <a:blip xmlns:r="http://schemas.openxmlformats.org/officeDocument/2006/relationships" r:embed="rId4"/>
        <a:stretch>
          <a:fillRect/>
        </a:stretch>
      </xdr:blipFill>
      <xdr:spPr>
        <a:xfrm>
          <a:off x="12477750" y="581025"/>
          <a:ext cx="3942857" cy="3600000"/>
        </a:xfrm>
        <a:prstGeom prst="rect">
          <a:avLst/>
        </a:prstGeom>
      </xdr:spPr>
    </xdr:pic>
    <xdr:clientData/>
  </xdr:twoCellAnchor>
  <xdr:twoCellAnchor editAs="oneCell">
    <xdr:from>
      <xdr:col>12</xdr:col>
      <xdr:colOff>590550</xdr:colOff>
      <xdr:row>24</xdr:row>
      <xdr:rowOff>114300</xdr:rowOff>
    </xdr:from>
    <xdr:to>
      <xdr:col>18</xdr:col>
      <xdr:colOff>466226</xdr:colOff>
      <xdr:row>31</xdr:row>
      <xdr:rowOff>142721</xdr:rowOff>
    </xdr:to>
    <xdr:pic>
      <xdr:nvPicPr>
        <xdr:cNvPr id="7" name="图片 6">
          <a:extLst>
            <a:ext uri="{FF2B5EF4-FFF2-40B4-BE49-F238E27FC236}">
              <a16:creationId xmlns:a16="http://schemas.microsoft.com/office/drawing/2014/main" id="{D80ECA1D-7A7B-25A2-EF92-FFD3EEA95F37}"/>
            </a:ext>
          </a:extLst>
        </xdr:cNvPr>
        <xdr:cNvPicPr>
          <a:picLocks noChangeAspect="1"/>
        </xdr:cNvPicPr>
      </xdr:nvPicPr>
      <xdr:blipFill>
        <a:blip xmlns:r="http://schemas.openxmlformats.org/officeDocument/2006/relationships" r:embed="rId5"/>
        <a:stretch>
          <a:fillRect/>
        </a:stretch>
      </xdr:blipFill>
      <xdr:spPr>
        <a:xfrm>
          <a:off x="8820150" y="4229100"/>
          <a:ext cx="3990476" cy="1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71</xdr:row>
      <xdr:rowOff>149679</xdr:rowOff>
    </xdr:from>
    <xdr:to>
      <xdr:col>6</xdr:col>
      <xdr:colOff>572964</xdr:colOff>
      <xdr:row>92</xdr:row>
      <xdr:rowOff>158667</xdr:rowOff>
    </xdr:to>
    <xdr:pic>
      <xdr:nvPicPr>
        <xdr:cNvPr id="6" name="图片 5">
          <a:extLst>
            <a:ext uri="{FF2B5EF4-FFF2-40B4-BE49-F238E27FC236}">
              <a16:creationId xmlns:a16="http://schemas.microsoft.com/office/drawing/2014/main" id="{B8EDB99C-FC37-5E41-23CA-9C8822F396B2}"/>
            </a:ext>
          </a:extLst>
        </xdr:cNvPr>
        <xdr:cNvPicPr>
          <a:picLocks noChangeAspect="1"/>
        </xdr:cNvPicPr>
      </xdr:nvPicPr>
      <xdr:blipFill>
        <a:blip xmlns:r="http://schemas.openxmlformats.org/officeDocument/2006/relationships" r:embed="rId1"/>
        <a:stretch>
          <a:fillRect/>
        </a:stretch>
      </xdr:blipFill>
      <xdr:spPr>
        <a:xfrm>
          <a:off x="0" y="15580179"/>
          <a:ext cx="10057143" cy="4295238"/>
        </a:xfrm>
        <a:prstGeom prst="rect">
          <a:avLst/>
        </a:prstGeom>
      </xdr:spPr>
    </xdr:pic>
    <xdr:clientData/>
  </xdr:twoCellAnchor>
  <xdr:twoCellAnchor editAs="oneCell">
    <xdr:from>
      <xdr:col>6</xdr:col>
      <xdr:colOff>1061357</xdr:colOff>
      <xdr:row>71</xdr:row>
      <xdr:rowOff>122465</xdr:rowOff>
    </xdr:from>
    <xdr:to>
      <xdr:col>12</xdr:col>
      <xdr:colOff>932190</xdr:colOff>
      <xdr:row>92</xdr:row>
      <xdr:rowOff>112405</xdr:rowOff>
    </xdr:to>
    <xdr:pic>
      <xdr:nvPicPr>
        <xdr:cNvPr id="7" name="图片 6">
          <a:extLst>
            <a:ext uri="{FF2B5EF4-FFF2-40B4-BE49-F238E27FC236}">
              <a16:creationId xmlns:a16="http://schemas.microsoft.com/office/drawing/2014/main" id="{28C4F675-9479-AA7F-5B84-BBE58F417EBA}"/>
            </a:ext>
          </a:extLst>
        </xdr:cNvPr>
        <xdr:cNvPicPr>
          <a:picLocks noChangeAspect="1"/>
        </xdr:cNvPicPr>
      </xdr:nvPicPr>
      <xdr:blipFill>
        <a:blip xmlns:r="http://schemas.openxmlformats.org/officeDocument/2006/relationships" r:embed="rId2"/>
        <a:stretch>
          <a:fillRect/>
        </a:stretch>
      </xdr:blipFill>
      <xdr:spPr>
        <a:xfrm>
          <a:off x="10545536" y="15552965"/>
          <a:ext cx="10076190" cy="4276190"/>
        </a:xfrm>
        <a:prstGeom prst="rect">
          <a:avLst/>
        </a:prstGeom>
      </xdr:spPr>
    </xdr:pic>
    <xdr:clientData/>
  </xdr:twoCellAnchor>
  <xdr:twoCellAnchor editAs="oneCell">
    <xdr:from>
      <xdr:col>0</xdr:col>
      <xdr:colOff>0</xdr:colOff>
      <xdr:row>95</xdr:row>
      <xdr:rowOff>27216</xdr:rowOff>
    </xdr:from>
    <xdr:to>
      <xdr:col>6</xdr:col>
      <xdr:colOff>611059</xdr:colOff>
      <xdr:row>116</xdr:row>
      <xdr:rowOff>45728</xdr:rowOff>
    </xdr:to>
    <xdr:pic>
      <xdr:nvPicPr>
        <xdr:cNvPr id="8" name="图片 7">
          <a:extLst>
            <a:ext uri="{FF2B5EF4-FFF2-40B4-BE49-F238E27FC236}">
              <a16:creationId xmlns:a16="http://schemas.microsoft.com/office/drawing/2014/main" id="{1A880575-0FE2-AF64-06C4-A3995FE19F88}"/>
            </a:ext>
          </a:extLst>
        </xdr:cNvPr>
        <xdr:cNvPicPr>
          <a:picLocks noChangeAspect="1"/>
        </xdr:cNvPicPr>
      </xdr:nvPicPr>
      <xdr:blipFill>
        <a:blip xmlns:r="http://schemas.openxmlformats.org/officeDocument/2006/relationships" r:embed="rId3"/>
        <a:stretch>
          <a:fillRect/>
        </a:stretch>
      </xdr:blipFill>
      <xdr:spPr>
        <a:xfrm>
          <a:off x="0" y="20737287"/>
          <a:ext cx="10095238" cy="4304762"/>
        </a:xfrm>
        <a:prstGeom prst="rect">
          <a:avLst/>
        </a:prstGeom>
      </xdr:spPr>
    </xdr:pic>
    <xdr:clientData/>
  </xdr:twoCellAnchor>
  <xdr:twoCellAnchor editAs="oneCell">
    <xdr:from>
      <xdr:col>6</xdr:col>
      <xdr:colOff>1006928</xdr:colOff>
      <xdr:row>95</xdr:row>
      <xdr:rowOff>40821</xdr:rowOff>
    </xdr:from>
    <xdr:to>
      <xdr:col>12</xdr:col>
      <xdr:colOff>915857</xdr:colOff>
      <xdr:row>116</xdr:row>
      <xdr:rowOff>126000</xdr:rowOff>
    </xdr:to>
    <xdr:pic>
      <xdr:nvPicPr>
        <xdr:cNvPr id="9" name="图片 8">
          <a:extLst>
            <a:ext uri="{FF2B5EF4-FFF2-40B4-BE49-F238E27FC236}">
              <a16:creationId xmlns:a16="http://schemas.microsoft.com/office/drawing/2014/main" id="{AFAAF6AD-961A-681D-6DD2-8816F7874D37}"/>
            </a:ext>
          </a:extLst>
        </xdr:cNvPr>
        <xdr:cNvPicPr>
          <a:picLocks noChangeAspect="1"/>
        </xdr:cNvPicPr>
      </xdr:nvPicPr>
      <xdr:blipFill>
        <a:blip xmlns:r="http://schemas.openxmlformats.org/officeDocument/2006/relationships" r:embed="rId4"/>
        <a:stretch>
          <a:fillRect/>
        </a:stretch>
      </xdr:blipFill>
      <xdr:spPr>
        <a:xfrm>
          <a:off x="10491107" y="20750892"/>
          <a:ext cx="10114286" cy="4371429"/>
        </a:xfrm>
        <a:prstGeom prst="rect">
          <a:avLst/>
        </a:prstGeom>
      </xdr:spPr>
    </xdr:pic>
    <xdr:clientData/>
  </xdr:twoCellAnchor>
  <xdr:twoCellAnchor editAs="oneCell">
    <xdr:from>
      <xdr:col>0</xdr:col>
      <xdr:colOff>0</xdr:colOff>
      <xdr:row>119</xdr:row>
      <xdr:rowOff>68036</xdr:rowOff>
    </xdr:from>
    <xdr:to>
      <xdr:col>6</xdr:col>
      <xdr:colOff>620583</xdr:colOff>
      <xdr:row>127</xdr:row>
      <xdr:rowOff>6608</xdr:rowOff>
    </xdr:to>
    <xdr:pic>
      <xdr:nvPicPr>
        <xdr:cNvPr id="10" name="图片 9">
          <a:extLst>
            <a:ext uri="{FF2B5EF4-FFF2-40B4-BE49-F238E27FC236}">
              <a16:creationId xmlns:a16="http://schemas.microsoft.com/office/drawing/2014/main" id="{E14DE454-E7BE-FB3B-FF4B-6587F4BE8491}"/>
            </a:ext>
          </a:extLst>
        </xdr:cNvPr>
        <xdr:cNvPicPr>
          <a:picLocks noChangeAspect="1"/>
        </xdr:cNvPicPr>
      </xdr:nvPicPr>
      <xdr:blipFill>
        <a:blip xmlns:r="http://schemas.openxmlformats.org/officeDocument/2006/relationships" r:embed="rId5"/>
        <a:stretch>
          <a:fillRect/>
        </a:stretch>
      </xdr:blipFill>
      <xdr:spPr>
        <a:xfrm>
          <a:off x="0" y="25676679"/>
          <a:ext cx="10104762" cy="1571429"/>
        </a:xfrm>
        <a:prstGeom prst="rect">
          <a:avLst/>
        </a:prstGeom>
      </xdr:spPr>
    </xdr:pic>
    <xdr:clientData/>
  </xdr:twoCellAnchor>
  <xdr:twoCellAnchor editAs="oneCell">
    <xdr:from>
      <xdr:col>6</xdr:col>
      <xdr:colOff>1020535</xdr:colOff>
      <xdr:row>119</xdr:row>
      <xdr:rowOff>108857</xdr:rowOff>
    </xdr:from>
    <xdr:to>
      <xdr:col>12</xdr:col>
      <xdr:colOff>929464</xdr:colOff>
      <xdr:row>127</xdr:row>
      <xdr:rowOff>85524</xdr:rowOff>
    </xdr:to>
    <xdr:pic>
      <xdr:nvPicPr>
        <xdr:cNvPr id="11" name="图片 10">
          <a:extLst>
            <a:ext uri="{FF2B5EF4-FFF2-40B4-BE49-F238E27FC236}">
              <a16:creationId xmlns:a16="http://schemas.microsoft.com/office/drawing/2014/main" id="{5D27C880-6700-5805-63F8-D1D2C82B9F27}"/>
            </a:ext>
          </a:extLst>
        </xdr:cNvPr>
        <xdr:cNvPicPr>
          <a:picLocks noChangeAspect="1"/>
        </xdr:cNvPicPr>
      </xdr:nvPicPr>
      <xdr:blipFill>
        <a:blip xmlns:r="http://schemas.openxmlformats.org/officeDocument/2006/relationships" r:embed="rId6"/>
        <a:stretch>
          <a:fillRect/>
        </a:stretch>
      </xdr:blipFill>
      <xdr:spPr>
        <a:xfrm>
          <a:off x="10504714" y="25717500"/>
          <a:ext cx="10114286" cy="1609524"/>
        </a:xfrm>
        <a:prstGeom prst="rect">
          <a:avLst/>
        </a:prstGeom>
      </xdr:spPr>
    </xdr:pic>
    <xdr:clientData/>
  </xdr:twoCellAnchor>
  <xdr:twoCellAnchor>
    <xdr:from>
      <xdr:col>5</xdr:col>
      <xdr:colOff>1660071</xdr:colOff>
      <xdr:row>71</xdr:row>
      <xdr:rowOff>163286</xdr:rowOff>
    </xdr:from>
    <xdr:to>
      <xdr:col>6</xdr:col>
      <xdr:colOff>585107</xdr:colOff>
      <xdr:row>92</xdr:row>
      <xdr:rowOff>176893</xdr:rowOff>
    </xdr:to>
    <xdr:sp macro="" textlink="">
      <xdr:nvSpPr>
        <xdr:cNvPr id="13" name="矩形 12">
          <a:extLst>
            <a:ext uri="{FF2B5EF4-FFF2-40B4-BE49-F238E27FC236}">
              <a16:creationId xmlns:a16="http://schemas.microsoft.com/office/drawing/2014/main" id="{46F8B66D-F6AB-4C61-9333-91B23A23FEE9}"/>
            </a:ext>
          </a:extLst>
        </xdr:cNvPr>
        <xdr:cNvSpPr/>
      </xdr:nvSpPr>
      <xdr:spPr>
        <a:xfrm>
          <a:off x="9443357" y="15784286"/>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326571</xdr:colOff>
      <xdr:row>71</xdr:row>
      <xdr:rowOff>122465</xdr:rowOff>
    </xdr:from>
    <xdr:to>
      <xdr:col>13</xdr:col>
      <xdr:colOff>0</xdr:colOff>
      <xdr:row>92</xdr:row>
      <xdr:rowOff>136072</xdr:rowOff>
    </xdr:to>
    <xdr:sp macro="" textlink="">
      <xdr:nvSpPr>
        <xdr:cNvPr id="14" name="矩形 13">
          <a:extLst>
            <a:ext uri="{FF2B5EF4-FFF2-40B4-BE49-F238E27FC236}">
              <a16:creationId xmlns:a16="http://schemas.microsoft.com/office/drawing/2014/main" id="{3E24FD7C-ED82-42A1-99C5-1ADCC5C05A88}"/>
            </a:ext>
          </a:extLst>
        </xdr:cNvPr>
        <xdr:cNvSpPr/>
      </xdr:nvSpPr>
      <xdr:spPr>
        <a:xfrm>
          <a:off x="20016107" y="15743465"/>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1673678</xdr:colOff>
      <xdr:row>95</xdr:row>
      <xdr:rowOff>27216</xdr:rowOff>
    </xdr:from>
    <xdr:to>
      <xdr:col>6</xdr:col>
      <xdr:colOff>598714</xdr:colOff>
      <xdr:row>116</xdr:row>
      <xdr:rowOff>40823</xdr:rowOff>
    </xdr:to>
    <xdr:sp macro="" textlink="">
      <xdr:nvSpPr>
        <xdr:cNvPr id="15" name="矩形 14">
          <a:extLst>
            <a:ext uri="{FF2B5EF4-FFF2-40B4-BE49-F238E27FC236}">
              <a16:creationId xmlns:a16="http://schemas.microsoft.com/office/drawing/2014/main" id="{35566D03-7A48-4C4B-9A14-B11D6804C372}"/>
            </a:ext>
          </a:extLst>
        </xdr:cNvPr>
        <xdr:cNvSpPr/>
      </xdr:nvSpPr>
      <xdr:spPr>
        <a:xfrm>
          <a:off x="9456964" y="20737287"/>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272143</xdr:colOff>
      <xdr:row>95</xdr:row>
      <xdr:rowOff>108857</xdr:rowOff>
    </xdr:from>
    <xdr:to>
      <xdr:col>12</xdr:col>
      <xdr:colOff>898072</xdr:colOff>
      <xdr:row>116</xdr:row>
      <xdr:rowOff>122464</xdr:rowOff>
    </xdr:to>
    <xdr:sp macro="" textlink="">
      <xdr:nvSpPr>
        <xdr:cNvPr id="16" name="矩形 15">
          <a:extLst>
            <a:ext uri="{FF2B5EF4-FFF2-40B4-BE49-F238E27FC236}">
              <a16:creationId xmlns:a16="http://schemas.microsoft.com/office/drawing/2014/main" id="{B6C7B576-D2D1-4594-BDE8-D3450FEB0FB1}"/>
            </a:ext>
          </a:extLst>
        </xdr:cNvPr>
        <xdr:cNvSpPr/>
      </xdr:nvSpPr>
      <xdr:spPr>
        <a:xfrm>
          <a:off x="19961679" y="20818928"/>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0</xdr:colOff>
      <xdr:row>119</xdr:row>
      <xdr:rowOff>81644</xdr:rowOff>
    </xdr:from>
    <xdr:to>
      <xdr:col>6</xdr:col>
      <xdr:colOff>625929</xdr:colOff>
      <xdr:row>127</xdr:row>
      <xdr:rowOff>1</xdr:rowOff>
    </xdr:to>
    <xdr:sp macro="" textlink="">
      <xdr:nvSpPr>
        <xdr:cNvPr id="17" name="矩形 16">
          <a:extLst>
            <a:ext uri="{FF2B5EF4-FFF2-40B4-BE49-F238E27FC236}">
              <a16:creationId xmlns:a16="http://schemas.microsoft.com/office/drawing/2014/main" id="{E0BAF97A-D039-444E-BA15-A0E965F88E4B}"/>
            </a:ext>
          </a:extLst>
        </xdr:cNvPr>
        <xdr:cNvSpPr/>
      </xdr:nvSpPr>
      <xdr:spPr>
        <a:xfrm>
          <a:off x="9484179" y="25880787"/>
          <a:ext cx="625929" cy="155121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285750</xdr:colOff>
      <xdr:row>119</xdr:row>
      <xdr:rowOff>149679</xdr:rowOff>
    </xdr:from>
    <xdr:to>
      <xdr:col>12</xdr:col>
      <xdr:colOff>911679</xdr:colOff>
      <xdr:row>127</xdr:row>
      <xdr:rowOff>40821</xdr:rowOff>
    </xdr:to>
    <xdr:sp macro="" textlink="">
      <xdr:nvSpPr>
        <xdr:cNvPr id="18" name="矩形 17">
          <a:extLst>
            <a:ext uri="{FF2B5EF4-FFF2-40B4-BE49-F238E27FC236}">
              <a16:creationId xmlns:a16="http://schemas.microsoft.com/office/drawing/2014/main" id="{EE590ED1-4A06-4B01-BFBD-3964E07794AA}"/>
            </a:ext>
          </a:extLst>
        </xdr:cNvPr>
        <xdr:cNvSpPr/>
      </xdr:nvSpPr>
      <xdr:spPr>
        <a:xfrm>
          <a:off x="19975286" y="25948822"/>
          <a:ext cx="625929" cy="152399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27983;&#35272;&#22120;&#19979;&#36733;\&#36164;&#26009;\&#12304;Project%20Orchid&#12305;WH&#19968;&#38138;&#19968;&#20215;&#27169;&#22411;-250326%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核心假设及结论"/>
      <sheetName val="一铺一价计算"/>
      <sheetName val="g0 存续租期内租金增幅"/>
    </sheetNames>
    <sheetDataSet>
      <sheetData sheetId="0"/>
      <sheetData sheetId="1">
        <row r="341">
          <cell r="D341">
            <v>0.94613858111460225</v>
          </cell>
        </row>
        <row r="343">
          <cell r="BM343">
            <v>21174.423494315997</v>
          </cell>
          <cell r="BN343">
            <v>21468.405673905563</v>
          </cell>
          <cell r="BO343">
            <v>21735.918969820465</v>
          </cell>
          <cell r="BP343">
            <v>22102.72530257648</v>
          </cell>
          <cell r="BQ343">
            <v>22266.609394830808</v>
          </cell>
          <cell r="BR343">
            <v>22816.254427725395</v>
          </cell>
        </row>
      </sheetData>
      <sheetData sheetId="2">
        <row r="2">
          <cell r="O2">
            <v>3.7378635533536354E-2</v>
          </cell>
        </row>
        <row r="3">
          <cell r="O3">
            <v>4.0949858915552945E-2</v>
          </cell>
        </row>
        <row r="4">
          <cell r="O4">
            <v>4.0533766522599435E-2</v>
          </cell>
        </row>
        <row r="5">
          <cell r="O5">
            <v>2.0644637881486422E-2</v>
          </cell>
        </row>
        <row r="7">
          <cell r="O7">
            <v>3.8698883305627492E-2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估价对象为房地产，为所有。根据《国有土地使用证》[]，估价对象（分摊）出让国有建设用地使用权面积为217068.78平方米，建筑面积为251875.16平方米。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估价对象为房地产,属开发建设的，该项目尚在开发建设中。根据《国有土地使用证》[]，估价对象（分摊）出让国有建设用地使用权面积为217068.78平方米，规划建筑面积为251875.16平方米。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2025年5月15日（评估专业人员实地查勘之日）</v>
      </c>
    </row>
    <row r="13" spans="1:2">
      <c r="A13" s="1118" t="s">
        <v>529</v>
      </c>
      <c r="B13" s="1119"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301092</v>
      </c>
    </row>
    <row r="21" spans="1:2">
      <c r="A21" s="1118" t="s">
        <v>537</v>
      </c>
      <c r="B21" s="1119">
        <f ca="1">'预评函-2'!D7</f>
        <v>11954</v>
      </c>
    </row>
    <row r="22" spans="1:2">
      <c r="A22" s="1118" t="s">
        <v>538</v>
      </c>
      <c r="B22" s="1119" t="str">
        <f ca="1">'预评函-2'!D6</f>
        <v>叁拾亿壹仟零玖拾贰万元整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301092</v>
      </c>
    </row>
    <row r="31" spans="1:2">
      <c r="A31" s="1118" t="s">
        <v>576</v>
      </c>
      <c r="B31" s="1119">
        <f ca="1">'预评函-2'!D15</f>
        <v>11954</v>
      </c>
    </row>
    <row r="32" spans="1:2">
      <c r="A32" s="1118" t="s">
        <v>543</v>
      </c>
      <c r="B32" s="1119" t="str">
        <f ca="1">'预评函-2'!D14</f>
        <v>叁拾亿壹仟零玖拾贰万元整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251875.15999999997</v>
      </c>
    </row>
    <row r="44" spans="1:2">
      <c r="A44" s="1118" t="s">
        <v>575</v>
      </c>
      <c r="B44" s="1119" t="str">
        <f>'预评函-3'!C2</f>
        <v>(分摊)土地面积</v>
      </c>
    </row>
    <row r="45" spans="1:2">
      <c r="A45" s="1118" t="s">
        <v>547</v>
      </c>
      <c r="B45" s="1119">
        <f>'预评函-3'!C4</f>
        <v>217068.78</v>
      </c>
    </row>
    <row r="46" spans="1:2">
      <c r="A46" s="1118" t="s">
        <v>573</v>
      </c>
      <c r="B46" s="1119" t="str">
        <f>'预评函-3'!D2</f>
        <v>出让国有建设用地使用权价值</v>
      </c>
    </row>
    <row r="47" spans="1:2">
      <c r="A47" s="1118" t="s">
        <v>548</v>
      </c>
      <c r="B47" s="1119">
        <f ca="1">'预评函-3'!D4</f>
        <v>125862</v>
      </c>
    </row>
    <row r="48" spans="1:2">
      <c r="A48" s="1118" t="s">
        <v>549</v>
      </c>
      <c r="B48" s="1119">
        <f ca="1">'预评函-3'!E4</f>
        <v>4997</v>
      </c>
    </row>
    <row r="49" spans="1:2">
      <c r="A49" s="1118" t="s">
        <v>550</v>
      </c>
      <c r="B49" s="1119" t="str">
        <f ca="1">'预评函-3'!D5</f>
        <v>壹拾贰亿伍仟捌佰陆拾贰万元整</v>
      </c>
    </row>
    <row r="50" spans="1:2">
      <c r="A50" s="1118" t="s">
        <v>574</v>
      </c>
      <c r="B50" s="1119" t="str">
        <f>'预评函-3'!F2</f>
        <v>在建建筑物价值</v>
      </c>
    </row>
    <row r="51" spans="1:2">
      <c r="A51" s="1118" t="s">
        <v>551</v>
      </c>
      <c r="B51" s="1119">
        <f ca="1">'预评函-3'!F4</f>
        <v>175230</v>
      </c>
    </row>
    <row r="52" spans="1:2">
      <c r="A52" s="1118" t="s">
        <v>552</v>
      </c>
      <c r="B52" s="1119">
        <f ca="1">'预评函-3'!G4</f>
        <v>6957</v>
      </c>
    </row>
    <row r="53" spans="1:2">
      <c r="A53" s="1118" t="s">
        <v>580</v>
      </c>
      <c r="B53" s="1119" t="str">
        <f ca="1">'预评函-3'!F5</f>
        <v>壹拾柒亿伍仟贰佰叁拾万元整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2567</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2568</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1446" t="s">
        <v>385</v>
      </c>
      <c r="C54" s="1444" t="s">
        <v>583</v>
      </c>
    </row>
    <row r="55" spans="1:4">
      <c r="A55" s="3288"/>
      <c r="B55" s="1446" t="s">
        <v>386</v>
      </c>
      <c r="C55" s="1444" t="s">
        <v>584</v>
      </c>
    </row>
    <row r="56" spans="1:4">
      <c r="A56" s="3288"/>
      <c r="B56" s="1446" t="s">
        <v>387</v>
      </c>
      <c r="C56" s="1444" t="s">
        <v>588</v>
      </c>
    </row>
    <row r="57" spans="1:4">
      <c r="A57" s="328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2490</v>
      </c>
      <c r="B1" s="2754"/>
      <c r="C1" s="2754"/>
      <c r="D1" s="2754"/>
      <c r="E1" s="2754"/>
      <c r="F1" s="2755"/>
      <c r="I1" s="3132" t="s">
        <v>2583</v>
      </c>
      <c r="J1" s="2780"/>
      <c r="K1" s="2780"/>
      <c r="L1" s="2780"/>
      <c r="M1" s="2780"/>
      <c r="N1" s="2965"/>
      <c r="O1" s="2965"/>
      <c r="P1" s="2965"/>
      <c r="Q1" s="2965"/>
      <c r="R1" s="2965"/>
    </row>
    <row r="2" spans="1:18">
      <c r="A2" s="2757"/>
      <c r="B2" s="2758"/>
      <c r="C2" s="2758"/>
      <c r="D2" s="2758"/>
      <c r="E2" s="2758"/>
      <c r="F2" s="2759"/>
      <c r="I2" s="3289" t="s">
        <v>2570</v>
      </c>
      <c r="J2" s="3289"/>
      <c r="K2" s="3289"/>
      <c r="L2" s="3289"/>
      <c r="M2" s="3289"/>
      <c r="N2" s="3289"/>
      <c r="O2" s="3289"/>
      <c r="P2" s="3289"/>
      <c r="Q2" s="3289"/>
      <c r="R2" s="3289"/>
    </row>
    <row r="3" spans="1:18">
      <c r="A3" s="2760" t="s">
        <v>2491</v>
      </c>
      <c r="B3" s="2761">
        <f>项目基本情况!D3</f>
        <v>45792</v>
      </c>
      <c r="C3" s="2763"/>
      <c r="D3" s="2763"/>
      <c r="E3" s="2763"/>
      <c r="F3" s="2759"/>
      <c r="I3" s="2775"/>
      <c r="J3" s="2775" t="s">
        <v>2574</v>
      </c>
      <c r="K3" s="2775" t="s">
        <v>2575</v>
      </c>
      <c r="L3" s="2775" t="s">
        <v>2576</v>
      </c>
      <c r="M3" s="2775" t="s">
        <v>2577</v>
      </c>
      <c r="N3" s="3133" t="s">
        <v>2578</v>
      </c>
      <c r="O3" s="3133" t="s">
        <v>2579</v>
      </c>
      <c r="P3" s="3133" t="s">
        <v>2580</v>
      </c>
      <c r="Q3" s="3133" t="s">
        <v>2581</v>
      </c>
      <c r="R3" s="3133" t="s">
        <v>2582</v>
      </c>
    </row>
    <row r="4" spans="1:18">
      <c r="A4" s="2760" t="s">
        <v>2492</v>
      </c>
      <c r="B4" s="2763" t="s">
        <v>2493</v>
      </c>
      <c r="C4" s="2763" t="s">
        <v>2494</v>
      </c>
      <c r="D4" s="2763" t="s">
        <v>2495</v>
      </c>
      <c r="E4" s="2763" t="s">
        <v>2496</v>
      </c>
      <c r="F4" s="2759"/>
      <c r="I4" s="2775" t="s">
        <v>2571</v>
      </c>
      <c r="J4" s="2775">
        <v>80</v>
      </c>
      <c r="K4" s="2775">
        <v>70</v>
      </c>
      <c r="L4" s="2775">
        <v>20</v>
      </c>
      <c r="M4" s="2775">
        <v>30</v>
      </c>
      <c r="N4" s="2763">
        <v>45</v>
      </c>
      <c r="O4" s="2763">
        <v>60</v>
      </c>
      <c r="P4" s="2763">
        <v>50</v>
      </c>
      <c r="Q4" s="2763">
        <v>20</v>
      </c>
      <c r="R4" s="2763">
        <v>375</v>
      </c>
    </row>
    <row r="5" spans="1:18">
      <c r="A5" s="2764">
        <v>40</v>
      </c>
      <c r="B5" s="2761">
        <v>46375</v>
      </c>
      <c r="C5" s="2763">
        <f>ROUNDDOWN(MIN((B5-B3)/365,A5),2)</f>
        <v>1.59</v>
      </c>
      <c r="D5" s="2765">
        <f>IF(ISERROR(ROUND(POWER(1+E5,A5-C5)*(POWER(1+E5,C5)-1)/(POWER(1+E5,A5)-1),3)),0,ROUND(POWER(1+E5,A5-C5)*(POWER(1+E5,C5)-1)/(POWER(1+E5,A5)-1),4))</f>
        <v>7.6399999999999996E-2</v>
      </c>
      <c r="E5" s="2766">
        <v>0.04</v>
      </c>
      <c r="F5" s="2759"/>
      <c r="I5" s="2775" t="s">
        <v>2572</v>
      </c>
      <c r="J5" s="2775">
        <v>70</v>
      </c>
      <c r="K5" s="2775">
        <v>60</v>
      </c>
      <c r="L5" s="2775">
        <v>15</v>
      </c>
      <c r="M5" s="2775">
        <v>25</v>
      </c>
      <c r="N5" s="2763">
        <v>40</v>
      </c>
      <c r="O5" s="2763">
        <v>50</v>
      </c>
      <c r="P5" s="2763">
        <v>40</v>
      </c>
      <c r="Q5" s="2763">
        <v>15</v>
      </c>
      <c r="R5" s="2763">
        <v>315</v>
      </c>
    </row>
    <row r="6" spans="1:18">
      <c r="A6" s="2764">
        <v>50</v>
      </c>
      <c r="B6" s="2761">
        <v>50028</v>
      </c>
      <c r="C6" s="2763">
        <f>ROUNDDOWN(MIN((B6-B3)/365,A6),2)</f>
        <v>11.6</v>
      </c>
      <c r="D6" s="2765">
        <f>IF(ISERROR(ROUND(POWER(1+E6,A6-C6)*(POWER(1+E6,C6)-1)/(POWER(1+E6,A6)-1),3)),0,ROUND(POWER(1+E6,A6-C6)*(POWER(1+E6,C6)-1)/(POWER(1+E6,A6)-1),4))</f>
        <v>0.4254</v>
      </c>
      <c r="E6" s="2766">
        <v>0.04</v>
      </c>
      <c r="F6" s="2759"/>
      <c r="I6" s="2775" t="s">
        <v>2573</v>
      </c>
      <c r="J6" s="2775">
        <v>60</v>
      </c>
      <c r="K6" s="2775">
        <v>50</v>
      </c>
      <c r="L6" s="2775">
        <v>10</v>
      </c>
      <c r="M6" s="2775">
        <v>20</v>
      </c>
      <c r="N6" s="2763">
        <v>35</v>
      </c>
      <c r="O6" s="2763">
        <v>40</v>
      </c>
      <c r="P6" s="2763">
        <v>30</v>
      </c>
      <c r="Q6" s="2763">
        <v>10</v>
      </c>
      <c r="R6" s="2763">
        <v>255</v>
      </c>
    </row>
    <row r="7" spans="1:18">
      <c r="A7" s="2764">
        <v>70</v>
      </c>
      <c r="B7" s="2761">
        <v>57333</v>
      </c>
      <c r="C7" s="2763">
        <f>ROUNDDOWN(MIN((B7-B3)/365,A7),2)</f>
        <v>31.61</v>
      </c>
      <c r="D7" s="2765">
        <f>IF(ISERROR(ROUND(POWER(1+E7,A7-C7)*(POWER(1+E7,C7)-1)/(POWER(1+E7,A7)-1),3)),0,ROUND(POWER(1+E7,A7-C7)*(POWER(1+E7,C7)-1)/(POWER(1+E7,A7)-1),4))</f>
        <v>0.75929999999999997</v>
      </c>
      <c r="E7" s="2766">
        <v>0.04</v>
      </c>
      <c r="F7" s="2759"/>
    </row>
    <row r="8" spans="1:18">
      <c r="A8" s="2757"/>
      <c r="B8" s="2758"/>
      <c r="C8" s="2758"/>
      <c r="D8" s="2758"/>
      <c r="E8" s="2758"/>
      <c r="F8" s="2759"/>
    </row>
    <row r="9" spans="1:18">
      <c r="A9" s="2760" t="s">
        <v>2497</v>
      </c>
      <c r="B9" s="2763"/>
      <c r="C9" s="2763"/>
      <c r="D9" s="2763"/>
      <c r="E9" s="2763"/>
      <c r="F9" s="2767"/>
    </row>
    <row r="10" spans="1:18">
      <c r="A10" s="2760" t="s">
        <v>2498</v>
      </c>
      <c r="B10" s="2763"/>
      <c r="C10" s="2763"/>
      <c r="D10" s="2763" t="s">
        <v>2496</v>
      </c>
      <c r="E10" s="2763"/>
      <c r="F10" s="2767" t="s">
        <v>2495</v>
      </c>
    </row>
    <row r="11" spans="1:18">
      <c r="A11" s="2760" t="s">
        <v>2499</v>
      </c>
      <c r="B11" s="2768">
        <v>70</v>
      </c>
      <c r="C11" s="2763" t="s">
        <v>2500</v>
      </c>
      <c r="D11" s="2768">
        <v>4.4999999999999998E-2</v>
      </c>
      <c r="E11" s="2763" t="s">
        <v>2501</v>
      </c>
      <c r="F11" s="2769">
        <f>ROUND(1-(1/(POWER(1+D11,B11))),4)</f>
        <v>0.95409999999999995</v>
      </c>
    </row>
    <row r="12" spans="1:18">
      <c r="A12" s="2760" t="s">
        <v>2502</v>
      </c>
      <c r="B12" s="2768">
        <v>40</v>
      </c>
      <c r="C12" s="2763" t="s">
        <v>2503</v>
      </c>
      <c r="D12" s="2768">
        <v>4.4999999999999998E-2</v>
      </c>
      <c r="E12" s="2763" t="s">
        <v>2504</v>
      </c>
      <c r="F12" s="2769">
        <f>ROUND(1-(1/(POWER(1+D12,B12))),4)</f>
        <v>0.82809999999999995</v>
      </c>
    </row>
    <row r="13" spans="1:18">
      <c r="A13" s="2760" t="s">
        <v>2505</v>
      </c>
      <c r="B13" s="2763"/>
      <c r="C13" s="2763"/>
      <c r="D13" s="2758"/>
      <c r="E13" s="2758"/>
      <c r="F13" s="2759"/>
    </row>
    <row r="14" spans="1:18">
      <c r="A14" s="2760" t="s">
        <v>2506</v>
      </c>
      <c r="B14" s="2768">
        <v>5000</v>
      </c>
      <c r="C14" s="2762"/>
      <c r="D14" s="2758"/>
      <c r="E14" s="2758"/>
      <c r="F14" s="2759"/>
    </row>
    <row r="15" spans="1:18">
      <c r="A15" s="2760" t="s">
        <v>2507</v>
      </c>
      <c r="B15" s="2763">
        <f>ROUND(B14*F12/F11,2)</f>
        <v>4339.6899999999996</v>
      </c>
      <c r="C15" s="2763">
        <f>ROUND(F12/F11,4)</f>
        <v>0.8679</v>
      </c>
      <c r="D15" s="2758"/>
      <c r="E15" s="2758"/>
      <c r="F15" s="2759"/>
    </row>
    <row r="16" spans="1:18">
      <c r="A16" s="2760" t="s">
        <v>2508</v>
      </c>
      <c r="B16" s="2763"/>
      <c r="C16" s="2763"/>
      <c r="D16" s="2758"/>
      <c r="E16" s="2758"/>
      <c r="F16" s="2759"/>
    </row>
    <row r="17" spans="1:14">
      <c r="A17" s="2760" t="s">
        <v>2507</v>
      </c>
      <c r="B17" s="2768">
        <v>4810</v>
      </c>
      <c r="C17" s="2762"/>
      <c r="D17" s="2758"/>
      <c r="E17" s="2758"/>
      <c r="F17" s="2759"/>
    </row>
    <row r="18" spans="1:14" ht="14.25" thickBot="1">
      <c r="A18" s="2770" t="s">
        <v>2506</v>
      </c>
      <c r="B18" s="2771">
        <f>ROUND(B17*F11/F12,2)</f>
        <v>5541.87</v>
      </c>
      <c r="C18" s="2771">
        <f>ROUND(F11/F12,4)</f>
        <v>1.1521999999999999</v>
      </c>
      <c r="D18" s="2772"/>
      <c r="E18" s="2772"/>
      <c r="F18" s="2773"/>
    </row>
    <row r="19" spans="1:14" ht="14.25" thickBot="1"/>
    <row r="20" spans="1:14" s="2806" customFormat="1" ht="14.25" thickTop="1">
      <c r="A20" s="2803" t="s">
        <v>2509</v>
      </c>
      <c r="B20" s="2804"/>
      <c r="C20" s="2804"/>
      <c r="D20" s="2804"/>
      <c r="E20" s="2804"/>
      <c r="F20" s="2804"/>
      <c r="G20" s="2805"/>
      <c r="I20" s="2807" t="s">
        <v>2554</v>
      </c>
      <c r="J20" s="2807" t="s">
        <v>2559</v>
      </c>
      <c r="K20" s="2807"/>
      <c r="L20" s="2807"/>
      <c r="M20" s="2807"/>
    </row>
    <row r="21" spans="1:14">
      <c r="A21" s="2774"/>
      <c r="B21" s="2775" t="s">
        <v>2510</v>
      </c>
      <c r="C21" s="2775" t="s">
        <v>2511</v>
      </c>
      <c r="D21" s="2775" t="s">
        <v>2512</v>
      </c>
      <c r="E21" s="2775" t="s">
        <v>2513</v>
      </c>
      <c r="F21" s="2775" t="s">
        <v>2514</v>
      </c>
      <c r="G21" s="2776" t="s">
        <v>2515</v>
      </c>
      <c r="I21" s="2797">
        <v>5</v>
      </c>
      <c r="J21" s="2797">
        <v>54.2</v>
      </c>
    </row>
    <row r="22" spans="1:14">
      <c r="A22" s="2774" t="s">
        <v>2516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2557</v>
      </c>
      <c r="N23" s="3150" t="s">
        <v>2558</v>
      </c>
    </row>
    <row r="24" spans="1:14">
      <c r="A24" s="2774" t="s">
        <v>2518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2556</v>
      </c>
      <c r="N24" s="3150">
        <v>10</v>
      </c>
    </row>
    <row r="25" spans="1:14">
      <c r="A25" s="2774" t="s">
        <v>2519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2560</v>
      </c>
      <c r="N25" s="3150">
        <v>8</v>
      </c>
    </row>
    <row r="26" spans="1:14">
      <c r="A26" s="2779"/>
      <c r="B26" s="2780"/>
      <c r="C26" s="2780"/>
      <c r="D26" s="2780"/>
      <c r="E26" s="2780"/>
      <c r="F26" s="2780"/>
      <c r="G26" s="2781"/>
      <c r="I26" s="2797">
        <v>30</v>
      </c>
      <c r="J26" s="2797">
        <v>90.5</v>
      </c>
      <c r="K26" s="2797">
        <f t="shared" si="2"/>
        <v>4.2000000000000028</v>
      </c>
      <c r="L26" s="2797" t="s">
        <v>2561</v>
      </c>
      <c r="N26" s="3150">
        <v>5</v>
      </c>
    </row>
    <row r="27" spans="1:14">
      <c r="A27" s="2779" t="s">
        <v>2520</v>
      </c>
      <c r="B27" s="2780"/>
      <c r="C27" s="2780"/>
      <c r="D27" s="2780"/>
      <c r="E27" s="2780"/>
      <c r="F27" s="2780"/>
      <c r="G27" s="2781"/>
      <c r="I27" s="2797">
        <v>35</v>
      </c>
      <c r="J27" s="2797">
        <v>93.8</v>
      </c>
      <c r="K27" s="2797">
        <f t="shared" si="2"/>
        <v>3.2999999999999972</v>
      </c>
      <c r="L27" s="2797" t="s">
        <v>2562</v>
      </c>
      <c r="N27" s="3150">
        <v>3</v>
      </c>
    </row>
    <row r="28" spans="1:14">
      <c r="A28" s="2779" t="s">
        <v>2521</v>
      </c>
      <c r="B28" s="2780"/>
      <c r="C28" s="2780"/>
      <c r="D28" s="2780"/>
      <c r="E28" s="2780"/>
      <c r="F28" s="2780"/>
      <c r="G28" s="2781"/>
      <c r="I28" s="2797">
        <v>40</v>
      </c>
      <c r="J28" s="2797">
        <v>96.4</v>
      </c>
      <c r="K28" s="2797">
        <f t="shared" si="2"/>
        <v>2.6000000000000085</v>
      </c>
      <c r="L28" s="2797" t="s">
        <v>2563</v>
      </c>
      <c r="N28" s="3150">
        <v>2</v>
      </c>
    </row>
    <row r="29" spans="1:14">
      <c r="A29" s="2779" t="s">
        <v>2522</v>
      </c>
      <c r="B29" s="2780"/>
      <c r="C29" s="2780"/>
      <c r="D29" s="2780"/>
      <c r="E29" s="2780"/>
      <c r="F29" s="2780"/>
      <c r="G29" s="2781"/>
      <c r="I29" s="2797">
        <v>45</v>
      </c>
      <c r="J29" s="2797">
        <v>98.4</v>
      </c>
      <c r="K29" s="2797">
        <f t="shared" si="2"/>
        <v>2</v>
      </c>
    </row>
    <row r="30" spans="1:14">
      <c r="A30" s="2779" t="s">
        <v>2523</v>
      </c>
      <c r="B30" s="2780"/>
      <c r="C30" s="2780"/>
      <c r="D30" s="2780"/>
      <c r="E30" s="2780"/>
      <c r="F30" s="2780"/>
      <c r="G30" s="2781"/>
      <c r="I30" s="2797">
        <v>50</v>
      </c>
      <c r="J30" s="2797">
        <v>100</v>
      </c>
      <c r="K30" s="2797">
        <f t="shared" si="2"/>
        <v>1.5999999999999943</v>
      </c>
    </row>
    <row r="31" spans="1:14">
      <c r="A31" s="2779" t="s">
        <v>2524</v>
      </c>
      <c r="B31" s="2780"/>
      <c r="C31" s="2780"/>
      <c r="D31" s="2780"/>
      <c r="E31" s="2780"/>
      <c r="F31" s="2780"/>
      <c r="G31" s="2781"/>
      <c r="I31" s="2797" t="s">
        <v>2555</v>
      </c>
    </row>
    <row r="32" spans="1:14">
      <c r="A32" s="2779" t="s">
        <v>2525</v>
      </c>
      <c r="B32" s="2780"/>
      <c r="C32" s="2780"/>
      <c r="D32" s="2780"/>
      <c r="E32" s="2780"/>
      <c r="F32" s="2780"/>
      <c r="G32" s="2781"/>
    </row>
    <row r="33" spans="1:14">
      <c r="A33" s="2779" t="s">
        <v>2526</v>
      </c>
      <c r="B33" s="2780"/>
      <c r="C33" s="2780"/>
      <c r="D33" s="2780"/>
      <c r="E33" s="2780"/>
      <c r="F33" s="2780"/>
      <c r="G33" s="2781"/>
      <c r="I33" s="2797" t="s">
        <v>2554</v>
      </c>
      <c r="J33" s="2797" t="s">
        <v>2564</v>
      </c>
    </row>
    <row r="34" spans="1:14">
      <c r="A34" s="2779" t="s">
        <v>2527</v>
      </c>
      <c r="B34" s="2780"/>
      <c r="C34" s="2780"/>
      <c r="D34" s="2780"/>
      <c r="E34" s="2780"/>
      <c r="F34" s="2780"/>
      <c r="G34" s="2781"/>
      <c r="I34" s="2797">
        <v>5</v>
      </c>
      <c r="J34" s="2797">
        <v>55.1</v>
      </c>
    </row>
    <row r="35" spans="1:14">
      <c r="A35" s="2779" t="s">
        <v>2528</v>
      </c>
      <c r="B35" s="2780"/>
      <c r="C35" s="2780"/>
      <c r="D35" s="2780"/>
      <c r="E35" s="2780"/>
      <c r="F35" s="2780"/>
      <c r="G35" s="2781"/>
      <c r="I35" s="2797">
        <v>10</v>
      </c>
      <c r="J35" s="2797">
        <v>67</v>
      </c>
      <c r="K35" s="2797">
        <f>J35-J34</f>
        <v>11.899999999999999</v>
      </c>
    </row>
    <row r="36" spans="1:14">
      <c r="A36" s="2779" t="s">
        <v>2529</v>
      </c>
      <c r="B36" s="2780"/>
      <c r="C36" s="2780"/>
      <c r="D36" s="2780"/>
      <c r="E36" s="2780"/>
      <c r="F36" s="2780"/>
      <c r="G36" s="2781"/>
      <c r="I36" s="2797">
        <v>15</v>
      </c>
      <c r="J36" s="2797">
        <v>76.3</v>
      </c>
      <c r="K36" s="2797">
        <f t="shared" ref="K36:K41" si="3">J36-J35</f>
        <v>9.2999999999999972</v>
      </c>
      <c r="L36" s="2797" t="s">
        <v>2557</v>
      </c>
      <c r="N36" s="3150" t="s">
        <v>2558</v>
      </c>
    </row>
    <row r="37" spans="1:14">
      <c r="A37" s="2779" t="s">
        <v>2530</v>
      </c>
      <c r="B37" s="2780"/>
      <c r="C37" s="2780"/>
      <c r="D37" s="2780"/>
      <c r="E37" s="2780"/>
      <c r="F37" s="2780"/>
      <c r="G37" s="2781"/>
      <c r="I37" s="2797">
        <v>20</v>
      </c>
      <c r="J37" s="2797">
        <v>83.6</v>
      </c>
      <c r="K37" s="2797">
        <f t="shared" si="3"/>
        <v>7.2999999999999972</v>
      </c>
      <c r="L37" s="2797" t="s">
        <v>2556</v>
      </c>
      <c r="N37" s="3150">
        <v>10</v>
      </c>
    </row>
    <row r="38" spans="1:14">
      <c r="A38" s="2779" t="s">
        <v>2531</v>
      </c>
      <c r="B38" s="2780"/>
      <c r="C38" s="2780"/>
      <c r="D38" s="2780"/>
      <c r="E38" s="2780"/>
      <c r="F38" s="2780"/>
      <c r="G38" s="2781"/>
      <c r="I38" s="2797">
        <v>25</v>
      </c>
      <c r="J38" s="2797">
        <v>89.3</v>
      </c>
      <c r="K38" s="2797">
        <f t="shared" si="3"/>
        <v>5.7000000000000028</v>
      </c>
      <c r="L38" s="2797" t="s">
        <v>2560</v>
      </c>
      <c r="N38" s="3150">
        <v>8</v>
      </c>
    </row>
    <row r="39" spans="1:14">
      <c r="A39" s="2779"/>
      <c r="B39" s="2780"/>
      <c r="C39" s="2780"/>
      <c r="D39" s="2780"/>
      <c r="E39" s="2780"/>
      <c r="F39" s="2780"/>
      <c r="G39" s="2781"/>
      <c r="I39" s="2797">
        <v>30</v>
      </c>
      <c r="J39" s="2797">
        <v>93.8</v>
      </c>
      <c r="K39" s="2797">
        <f t="shared" si="3"/>
        <v>4.5</v>
      </c>
      <c r="L39" s="2797" t="s">
        <v>2561</v>
      </c>
      <c r="N39" s="3150">
        <v>6</v>
      </c>
    </row>
    <row r="40" spans="1:14">
      <c r="A40" s="2782" t="s">
        <v>2532</v>
      </c>
      <c r="B40" s="2783"/>
      <c r="C40" s="2783"/>
      <c r="D40" s="2783"/>
      <c r="E40" s="2783"/>
      <c r="F40" s="2783"/>
      <c r="G40" s="2784"/>
      <c r="I40" s="2797">
        <v>35</v>
      </c>
      <c r="J40" s="2797">
        <v>97.2</v>
      </c>
      <c r="K40" s="2797">
        <f t="shared" si="3"/>
        <v>3.4000000000000057</v>
      </c>
      <c r="L40" s="2797" t="s">
        <v>2562</v>
      </c>
      <c r="N40" s="3150">
        <v>3</v>
      </c>
    </row>
    <row r="41" spans="1:14">
      <c r="A41" s="2785" t="s">
        <v>2533</v>
      </c>
      <c r="B41" s="2786" t="s">
        <v>2534</v>
      </c>
      <c r="C41" s="2787" t="s">
        <v>2535</v>
      </c>
      <c r="D41" s="2787" t="s">
        <v>2536</v>
      </c>
      <c r="E41" s="2788"/>
      <c r="F41" s="2789"/>
      <c r="G41" s="2790"/>
      <c r="I41" s="2797">
        <v>40</v>
      </c>
      <c r="J41" s="2797">
        <v>100</v>
      </c>
      <c r="K41" s="2797">
        <f t="shared" si="3"/>
        <v>2.7999999999999972</v>
      </c>
    </row>
    <row r="42" spans="1:14">
      <c r="A42" s="2785" t="s">
        <v>2537</v>
      </c>
      <c r="B42" s="2786" t="s">
        <v>2538</v>
      </c>
      <c r="C42" s="2787" t="s">
        <v>2539</v>
      </c>
      <c r="D42" s="2791" t="s">
        <v>2540</v>
      </c>
      <c r="E42" s="2783" t="s">
        <v>2541</v>
      </c>
      <c r="F42" s="2783"/>
      <c r="G42" s="2784"/>
    </row>
    <row r="43" spans="1:14">
      <c r="A43" s="2785" t="s">
        <v>2542</v>
      </c>
      <c r="B43" s="2786" t="s">
        <v>2543</v>
      </c>
      <c r="C43" s="2787" t="s">
        <v>2544</v>
      </c>
      <c r="D43" s="2787" t="s">
        <v>2545</v>
      </c>
      <c r="E43" s="2788" t="s">
        <v>2546</v>
      </c>
      <c r="F43" s="2789"/>
      <c r="G43" s="2790"/>
      <c r="I43" s="2797" t="s">
        <v>2554</v>
      </c>
      <c r="J43" s="2797" t="s">
        <v>2565</v>
      </c>
    </row>
    <row r="44" spans="1:14">
      <c r="A44" s="2785" t="s">
        <v>2547</v>
      </c>
      <c r="B44" s="2786" t="s">
        <v>2548</v>
      </c>
      <c r="C44" s="2787" t="s">
        <v>2549</v>
      </c>
      <c r="D44" s="2791">
        <v>0.5</v>
      </c>
      <c r="E44" s="2788" t="s">
        <v>2550</v>
      </c>
      <c r="F44" s="2789"/>
      <c r="G44" s="2790"/>
      <c r="I44" s="2797">
        <v>30</v>
      </c>
      <c r="J44" s="2797">
        <v>81.7</v>
      </c>
    </row>
    <row r="45" spans="1:14" ht="14.25" thickBot="1">
      <c r="A45" s="2792" t="s">
        <v>2551</v>
      </c>
      <c r="B45" s="2793" t="s">
        <v>2538</v>
      </c>
      <c r="C45" s="2794" t="s">
        <v>2538</v>
      </c>
      <c r="D45" s="2794" t="s">
        <v>2552</v>
      </c>
      <c r="E45" s="2795" t="s">
        <v>2553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3377</v>
      </c>
    </row>
    <row r="50" spans="1:4">
      <c r="A50" s="3142" t="s">
        <v>3378</v>
      </c>
      <c r="B50" s="3142" t="s">
        <v>3379</v>
      </c>
      <c r="C50" s="3142" t="s">
        <v>3380</v>
      </c>
      <c r="D50" s="3142" t="s">
        <v>3381</v>
      </c>
    </row>
    <row r="51" spans="1:4">
      <c r="A51" s="3142" t="s">
        <v>3382</v>
      </c>
      <c r="B51" s="2762">
        <f>B52+B53</f>
        <v>15000</v>
      </c>
      <c r="C51" s="3143">
        <f>D51/B51</f>
        <v>2666.6666666666665</v>
      </c>
      <c r="D51" s="2762">
        <f>D52+D53</f>
        <v>40000000</v>
      </c>
    </row>
    <row r="52" spans="1:4">
      <c r="A52" s="3144" t="s">
        <v>3383</v>
      </c>
      <c r="B52" s="3145">
        <v>10000</v>
      </c>
      <c r="C52" s="3145">
        <v>1500</v>
      </c>
      <c r="D52" s="3146">
        <f>C52*B52</f>
        <v>15000000</v>
      </c>
    </row>
    <row r="53" spans="1:4">
      <c r="A53" s="3144" t="s">
        <v>3384</v>
      </c>
      <c r="B53" s="3145">
        <v>5000</v>
      </c>
      <c r="C53" s="3145">
        <v>5000</v>
      </c>
      <c r="D53" s="3146">
        <f>C53*B53</f>
        <v>25000000</v>
      </c>
    </row>
    <row r="54" spans="1:4">
      <c r="A54" s="3142" t="s">
        <v>3385</v>
      </c>
      <c r="B54" s="2762">
        <f>B51</f>
        <v>15000</v>
      </c>
      <c r="C54" s="2768">
        <v>700</v>
      </c>
      <c r="D54" s="2762">
        <f t="shared" ref="D54:D55" si="5">C54*B54</f>
        <v>10500000</v>
      </c>
    </row>
    <row r="55" spans="1:4">
      <c r="A55" s="3142" t="s">
        <v>3386</v>
      </c>
      <c r="B55" s="2762">
        <f>B51</f>
        <v>15000</v>
      </c>
      <c r="C55" s="2768">
        <v>1500</v>
      </c>
      <c r="D55" s="2762">
        <f t="shared" si="5"/>
        <v>22500000</v>
      </c>
    </row>
    <row r="56" spans="1:4">
      <c r="A56" s="3142" t="s">
        <v>3387</v>
      </c>
      <c r="B56" s="2762">
        <f>B51</f>
        <v>15000</v>
      </c>
      <c r="C56" s="3147">
        <f>C51+C54+C55</f>
        <v>4866.6666666666661</v>
      </c>
      <c r="D56" s="2762">
        <f>D51+D54+D55</f>
        <v>73000000</v>
      </c>
    </row>
    <row r="58" spans="1:4">
      <c r="A58" s="3142" t="s">
        <v>3388</v>
      </c>
      <c r="B58" s="3148">
        <v>0.05</v>
      </c>
      <c r="C58" s="2762">
        <f>C56*(1+B58)</f>
        <v>5110</v>
      </c>
      <c r="D58" s="2762">
        <f>D56*B58</f>
        <v>3650000</v>
      </c>
    </row>
    <row r="60" spans="1:4">
      <c r="A60" s="3142" t="s">
        <v>3389</v>
      </c>
      <c r="B60" s="2768">
        <v>3500</v>
      </c>
      <c r="C60" s="2768">
        <f>C53</f>
        <v>5000</v>
      </c>
      <c r="D60" s="2762">
        <f>C60*B60</f>
        <v>17500000</v>
      </c>
    </row>
    <row r="62" spans="1:4">
      <c r="A62" s="3142" t="s">
        <v>3390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4:G15"/>
  <sheetViews>
    <sheetView workbookViewId="0">
      <selection activeCell="E5" activeCellId="1" sqref="E15 E5"/>
    </sheetView>
  </sheetViews>
  <sheetFormatPr defaultRowHeight="13.5"/>
  <cols>
    <col min="1" max="1" width="9" style="2811"/>
    <col min="2" max="2" width="13" style="2811" bestFit="1" customWidth="1"/>
    <col min="3" max="3" width="5.25" style="2811" bestFit="1" customWidth="1"/>
    <col min="4" max="4" width="11" style="2811" bestFit="1" customWidth="1"/>
    <col min="5" max="5" width="10.5" style="2811" bestFit="1" customWidth="1"/>
    <col min="6" max="6" width="11" style="2811" bestFit="1" customWidth="1"/>
    <col min="7" max="16384" width="9" style="2811"/>
  </cols>
  <sheetData>
    <row r="4" spans="2:7">
      <c r="B4" s="3176"/>
      <c r="C4" s="1428" t="s">
        <v>3598</v>
      </c>
      <c r="D4" s="1428" t="s">
        <v>2533</v>
      </c>
      <c r="E4" s="1428" t="s">
        <v>3599</v>
      </c>
      <c r="F4" s="1428" t="s">
        <v>3600</v>
      </c>
      <c r="G4" s="1428" t="s">
        <v>3601</v>
      </c>
    </row>
    <row r="5" spans="2:7">
      <c r="B5" s="3176"/>
      <c r="C5" s="3176">
        <v>-1</v>
      </c>
      <c r="D5" s="1428" t="s">
        <v>3592</v>
      </c>
      <c r="E5" s="3176">
        <v>2588.98</v>
      </c>
      <c r="F5" s="3176"/>
      <c r="G5" s="3176"/>
    </row>
    <row r="6" spans="2:7">
      <c r="B6" s="3176"/>
      <c r="C6" s="3176">
        <v>1</v>
      </c>
      <c r="D6" s="1428" t="s">
        <v>3595</v>
      </c>
      <c r="E6" s="3177">
        <v>59263.38</v>
      </c>
      <c r="F6" s="3176"/>
      <c r="G6" s="3176">
        <v>5060</v>
      </c>
    </row>
    <row r="7" spans="2:7">
      <c r="B7" s="3176"/>
      <c r="C7" s="3176">
        <v>2</v>
      </c>
      <c r="D7" s="1428" t="s">
        <v>3596</v>
      </c>
      <c r="E7" s="3177">
        <v>62694.46</v>
      </c>
      <c r="F7" s="3176"/>
      <c r="G7" s="3176"/>
    </row>
    <row r="8" spans="2:7">
      <c r="B8" s="3176"/>
      <c r="C8" s="3176">
        <v>3</v>
      </c>
      <c r="D8" s="1428" t="s">
        <v>3596</v>
      </c>
      <c r="E8" s="3177">
        <v>58129.4</v>
      </c>
      <c r="F8" s="3176"/>
      <c r="G8" s="3176"/>
    </row>
    <row r="9" spans="2:7">
      <c r="B9" s="3176"/>
      <c r="C9" s="3176">
        <v>4</v>
      </c>
      <c r="D9" s="1428" t="s">
        <v>3596</v>
      </c>
      <c r="E9" s="3177">
        <v>56062.67</v>
      </c>
      <c r="F9" s="3176"/>
      <c r="G9" s="3176"/>
    </row>
    <row r="10" spans="2:7">
      <c r="B10" s="3176"/>
      <c r="C10" s="3176">
        <v>5</v>
      </c>
      <c r="D10" s="1428" t="s">
        <v>3596</v>
      </c>
      <c r="E10" s="3177">
        <v>9360.57</v>
      </c>
      <c r="F10" s="3176"/>
      <c r="G10" s="3176"/>
    </row>
    <row r="11" spans="2:7">
      <c r="B11" s="3176"/>
      <c r="C11" s="3176">
        <v>6</v>
      </c>
      <c r="D11" s="1428" t="s">
        <v>3596</v>
      </c>
      <c r="E11" s="3177">
        <v>5905.46</v>
      </c>
      <c r="F11" s="3176"/>
      <c r="G11" s="3176"/>
    </row>
    <row r="12" spans="2:7">
      <c r="B12" s="3176"/>
      <c r="C12" s="1428" t="s">
        <v>3593</v>
      </c>
      <c r="D12" s="1428" t="s">
        <v>3592</v>
      </c>
      <c r="E12" s="3177">
        <v>459.22</v>
      </c>
      <c r="F12" s="3176"/>
      <c r="G12" s="3176"/>
    </row>
    <row r="13" spans="2:7">
      <c r="B13" s="3176"/>
      <c r="C13" s="1428" t="s">
        <v>3594</v>
      </c>
      <c r="D13" s="1428" t="s">
        <v>3597</v>
      </c>
      <c r="E13" s="3176"/>
      <c r="F13" s="3176"/>
      <c r="G13" s="3176"/>
    </row>
    <row r="14" spans="2:7">
      <c r="B14" s="1428" t="s">
        <v>3602</v>
      </c>
      <c r="C14" s="3176"/>
      <c r="D14" s="3176"/>
      <c r="E14" s="3176">
        <f>SUM(E5:E13)</f>
        <v>254464.14</v>
      </c>
      <c r="F14" s="3176"/>
      <c r="G14" s="3176"/>
    </row>
    <row r="15" spans="2:7">
      <c r="B15" s="1428" t="s">
        <v>3603</v>
      </c>
      <c r="C15" s="3176"/>
      <c r="D15" s="3176"/>
      <c r="E15" s="3176">
        <f>SUM(E6:E12)</f>
        <v>251875.15999999997</v>
      </c>
      <c r="F15" s="3176"/>
      <c r="G15" s="3176"/>
    </row>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90" zoomScaleNormal="100" zoomScaleSheetLayoutView="90" workbookViewId="0">
      <selection activeCell="N18" sqref="N1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97" t="str">
        <f>IF(B10="北京市","北京市",C10)&amp;F10&amp;IF(结果表!G1="在建","出让国有建设用地使用权及在建建筑物",IF(结果表!G1="土地","出让国有建设用地使用权",))&amp;B9&amp;"预评估"</f>
        <v>房地产抵押价值预评估</v>
      </c>
      <c r="C1" s="3298"/>
      <c r="D1" s="3298"/>
      <c r="E1" s="3298"/>
      <c r="F1" s="3298"/>
      <c r="G1" s="3298"/>
      <c r="H1" s="3298"/>
      <c r="I1" s="329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2169</v>
      </c>
      <c r="B3" s="2184">
        <v>45792</v>
      </c>
      <c r="C3" s="2185" t="s">
        <v>2170</v>
      </c>
      <c r="D3" s="2184">
        <f>B3</f>
        <v>45792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3402</v>
      </c>
      <c r="C8" s="2200"/>
      <c r="D8" s="3300" t="s">
        <v>2176</v>
      </c>
      <c r="E8" s="2201" t="s">
        <v>3403</v>
      </c>
      <c r="F8" s="2202"/>
      <c r="G8" s="2441"/>
      <c r="H8" s="2441"/>
      <c r="I8" s="2441"/>
      <c r="J8" s="2244"/>
      <c r="K8" s="2399"/>
      <c r="L8" s="2398"/>
      <c r="M8" s="2398"/>
      <c r="N8" s="2244"/>
      <c r="O8" s="1669"/>
      <c r="P8" s="2244"/>
      <c r="Q8" s="2244"/>
      <c r="R8" s="2244"/>
    </row>
    <row r="9" spans="1:30" ht="13.5" thickBot="1">
      <c r="A9" s="2203" t="s">
        <v>2177</v>
      </c>
      <c r="B9" s="2204" t="s">
        <v>3403</v>
      </c>
      <c r="C9" s="2205"/>
      <c r="D9" s="3301"/>
      <c r="E9" s="2204" t="s">
        <v>43</v>
      </c>
      <c r="F9" s="2206"/>
      <c r="G9" s="2442"/>
      <c r="H9" s="2442"/>
      <c r="I9" s="2442"/>
      <c r="J9" s="2244"/>
      <c r="K9" s="2401"/>
      <c r="L9" s="2398"/>
      <c r="M9" s="2398"/>
      <c r="N9" s="2244"/>
      <c r="O9" s="1669"/>
      <c r="P9" s="2244"/>
      <c r="Q9" s="2244"/>
      <c r="R9" s="2244"/>
    </row>
    <row r="10" spans="1:30" ht="13.5" thickTop="1">
      <c r="A10" s="2207" t="s">
        <v>2178</v>
      </c>
      <c r="B10" s="2208" t="s">
        <v>3404</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3405</v>
      </c>
      <c r="C11" s="2213"/>
      <c r="D11" s="2214"/>
      <c r="E11" s="2181"/>
      <c r="F11" s="2181"/>
      <c r="G11" s="2181"/>
      <c r="H11" s="2181"/>
      <c r="I11" s="2181"/>
      <c r="J11" s="2799"/>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798" t="s">
        <v>2566</v>
      </c>
      <c r="J12" s="2800"/>
      <c r="K12" s="2398"/>
      <c r="L12" s="2398"/>
      <c r="M12" s="2244"/>
      <c r="N12" s="1669"/>
      <c r="O12" s="2244"/>
      <c r="P12" s="2244"/>
      <c r="Q12" s="2244"/>
      <c r="AD12" s="1617"/>
    </row>
    <row r="13" spans="1:30">
      <c r="A13" s="3119" t="s">
        <v>3322</v>
      </c>
      <c r="B13" s="2217" t="s">
        <v>2189</v>
      </c>
      <c r="C13" s="803"/>
      <c r="D13" s="803">
        <v>55414</v>
      </c>
      <c r="E13" s="803"/>
      <c r="F13" s="803"/>
      <c r="G13" s="803"/>
      <c r="H13" s="803"/>
      <c r="I13" s="803"/>
      <c r="J13" s="2800"/>
      <c r="K13" s="2398"/>
      <c r="L13" s="2398"/>
      <c r="M13" s="2244"/>
      <c r="N13" s="1669"/>
      <c r="O13" s="2244"/>
      <c r="P13" s="2244"/>
      <c r="Q13" s="2244"/>
      <c r="AD13" s="1617"/>
    </row>
    <row r="14" spans="1:30">
      <c r="A14" s="1018"/>
      <c r="B14" s="2217" t="s">
        <v>2190</v>
      </c>
      <c r="C14" s="2218"/>
      <c r="D14" s="2218">
        <v>40</v>
      </c>
      <c r="E14" s="2218"/>
      <c r="F14" s="2218"/>
      <c r="G14" s="2218"/>
      <c r="H14" s="2218"/>
      <c r="I14" s="2218"/>
      <c r="J14" s="2801"/>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26.36</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2192</v>
      </c>
      <c r="B16" s="3307"/>
      <c r="C16" s="3308"/>
      <c r="D16" s="3309"/>
      <c r="E16" s="2221" t="s">
        <v>2193</v>
      </c>
      <c r="F16" s="3310"/>
      <c r="G16" s="3311"/>
      <c r="H16" s="3311"/>
      <c r="I16" s="3312"/>
      <c r="J16" s="2244"/>
      <c r="K16" s="2402"/>
      <c r="L16" s="1669"/>
      <c r="M16" s="1669"/>
      <c r="N16" s="2244"/>
      <c r="O16" s="1669"/>
      <c r="P16" s="2244"/>
      <c r="Q16" s="2244"/>
      <c r="R16" s="2244"/>
    </row>
    <row r="17" spans="1:28">
      <c r="A17" s="305" t="s">
        <v>2194</v>
      </c>
      <c r="B17" s="294" t="s">
        <v>2195</v>
      </c>
      <c r="C17" s="8">
        <f>'数据-汇总表'!E3</f>
        <v>251875.15999999997</v>
      </c>
      <c r="D17" s="1255" t="s">
        <v>2196</v>
      </c>
      <c r="E17" s="3313" t="s">
        <v>2197</v>
      </c>
      <c r="F17" s="3314"/>
      <c r="G17" s="3314"/>
      <c r="H17" s="3314"/>
      <c r="I17" s="3315"/>
      <c r="J17" s="2244"/>
      <c r="K17" s="2403"/>
      <c r="L17" s="1669"/>
      <c r="M17" s="1669"/>
      <c r="N17" s="2244"/>
      <c r="O17" s="1669"/>
      <c r="P17" s="2244"/>
      <c r="Q17" s="2244"/>
      <c r="R17" s="2244"/>
      <c r="S17" s="2244"/>
      <c r="T17" s="2244"/>
      <c r="U17" s="2244"/>
      <c r="V17" s="2244"/>
    </row>
    <row r="18" spans="1:28" ht="24.75" thickBot="1">
      <c r="A18" s="2222" t="s">
        <v>2198</v>
      </c>
      <c r="B18" s="1027" t="s">
        <v>2199</v>
      </c>
      <c r="C18" s="2223">
        <f>'数据-汇总表'!D3</f>
        <v>217068.78</v>
      </c>
      <c r="D18" s="1029" t="s">
        <v>2200</v>
      </c>
      <c r="E18" s="3316" t="s">
        <v>2201</v>
      </c>
      <c r="F18" s="3317"/>
      <c r="G18" s="3317"/>
      <c r="H18" s="3317"/>
      <c r="I18" s="3318"/>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303" t="s">
        <v>2205</v>
      </c>
      <c r="C20" s="3304"/>
      <c r="D20" s="3305" t="s">
        <v>2206</v>
      </c>
      <c r="E20" s="3306"/>
      <c r="F20" s="2429" t="s">
        <v>1056</v>
      </c>
      <c r="G20" s="2441"/>
      <c r="H20" s="2441"/>
      <c r="I20" s="2441"/>
      <c r="J20" s="2244"/>
      <c r="K20" s="330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3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3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91"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91"/>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91"/>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92"/>
      <c r="B30" s="294" t="s">
        <v>2217</v>
      </c>
      <c r="C30" s="3293"/>
      <c r="D30" s="3294"/>
      <c r="E30" s="2441"/>
      <c r="F30" s="2441"/>
      <c r="G30" s="2441"/>
      <c r="H30" s="2441"/>
      <c r="I30" s="2441"/>
      <c r="J30" s="2244"/>
      <c r="K30" s="2401"/>
      <c r="L30" s="2398"/>
      <c r="M30" s="2398"/>
      <c r="N30" s="2244"/>
      <c r="O30" s="1669"/>
      <c r="P30" s="2244"/>
      <c r="Q30" s="2244"/>
      <c r="R30" s="2244"/>
      <c r="S30" s="2244"/>
      <c r="T30" s="2244"/>
      <c r="U30" s="2244"/>
      <c r="V30" s="2244"/>
    </row>
    <row r="31" spans="1:28">
      <c r="A31" s="3295"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9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9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90" t="s">
        <v>2227</v>
      </c>
      <c r="T34" s="315" t="str">
        <f>NUMBERSTRING(7-K34,1)&amp;"通"</f>
        <v>七通</v>
      </c>
      <c r="U34" s="2244"/>
      <c r="V34" s="2244"/>
    </row>
    <row r="35" spans="1:30">
      <c r="A35" s="2235"/>
      <c r="B35" s="3290" t="s">
        <v>2228</v>
      </c>
      <c r="C35" s="3290"/>
      <c r="D35" s="3290"/>
      <c r="E35" s="329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0"/>
      <c r="T35" s="138" t="str">
        <f>IF(T34="一通",L35,IF(T34="二通",M35,IF(T34="三通",N35,IF(T34="四通",O35,IF(T34="五通",P35,IF(T34="六通",Q35,R35))))))</f>
        <v>、、、、、、</v>
      </c>
      <c r="U35" s="2244"/>
      <c r="V35" s="2244"/>
    </row>
    <row r="36" spans="1:30">
      <c r="A36" s="2182"/>
      <c r="B36" s="8" t="s">
        <v>2184</v>
      </c>
      <c r="C36" s="8" t="s">
        <v>2185</v>
      </c>
      <c r="D36" s="8" t="s">
        <v>2183</v>
      </c>
      <c r="E36" s="8" t="s">
        <v>2188</v>
      </c>
      <c r="F36" s="2798" t="s">
        <v>2569</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219299.99</v>
      </c>
      <c r="B3" s="11">
        <f>IF(C3="否",G5-AT5,G5)</f>
        <v>254464.14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254464.14</v>
      </c>
      <c r="H5" s="13">
        <f t="shared" ref="H5:AT5" si="0">SUM(H13:H656)</f>
        <v>254464.14</v>
      </c>
      <c r="I5" s="13">
        <f t="shared" si="0"/>
        <v>251875.15999999997</v>
      </c>
      <c r="J5" s="13">
        <f t="shared" si="0"/>
        <v>0</v>
      </c>
      <c r="K5" s="13">
        <f t="shared" si="0"/>
        <v>2588.98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251875.15999999997</v>
      </c>
      <c r="BA5" s="15">
        <f t="shared" si="1"/>
        <v>251875.15999999997</v>
      </c>
      <c r="BB5" s="15">
        <f t="shared" si="1"/>
        <v>251875.15999999997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219299.99</v>
      </c>
      <c r="F6" s="13" t="s">
        <v>0</v>
      </c>
      <c r="G6" s="13" t="s">
        <v>1</v>
      </c>
      <c r="H6" s="17">
        <f>SUMIF(I$12:AB$12,"总值",I6:AB6)</f>
        <v>219299.99</v>
      </c>
      <c r="I6" s="13">
        <f t="shared" ref="I6:AB6" si="2">ROUND($A$3*I5/$B$3,2)</f>
        <v>217068.78</v>
      </c>
      <c r="J6" s="13">
        <f t="shared" si="2"/>
        <v>0</v>
      </c>
      <c r="K6" s="13">
        <f t="shared" si="2"/>
        <v>2231.21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217068.78</v>
      </c>
      <c r="AZ6" s="13" t="s">
        <v>2</v>
      </c>
      <c r="BA6" s="13">
        <f>ROUND($AY$6*BA5/$AZ$5,2)</f>
        <v>217068.78</v>
      </c>
      <c r="BB6" s="13">
        <f>ROUND($AY$6*BB5/$AZ$5,2)</f>
        <v>217068.78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3407</v>
      </c>
      <c r="J9" s="761"/>
      <c r="K9" s="1490" t="s">
        <v>3604</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6" t="s">
        <v>3323</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车库</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3160">
        <f>面积!C5</f>
        <v>-1</v>
      </c>
      <c r="D13" s="1512" t="s">
        <v>3414</v>
      </c>
      <c r="E13" s="13">
        <f>IF($C$3="是",ROUND($A$3*G13/$B$3,2),ROUND($A$3*(G13-AT13)/$B$3,2))</f>
        <v>2231.21</v>
      </c>
      <c r="F13" s="29"/>
      <c r="G13" s="30">
        <f>H13+AC13+AT13</f>
        <v>2588.98</v>
      </c>
      <c r="H13" s="17">
        <f>SUMIF(I$12:AB$12,"总值",I13:AB13)</f>
        <v>2588.98</v>
      </c>
      <c r="I13" s="1513"/>
      <c r="J13" s="1513"/>
      <c r="K13" s="1513">
        <f>面积!E5</f>
        <v>2588.98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-1</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3160">
        <f>面积!C6</f>
        <v>1</v>
      </c>
      <c r="D14" s="1512" t="s">
        <v>3406</v>
      </c>
      <c r="E14" s="13">
        <f>IF($C$3="是",ROUND($A$3*G14/$B$3,2),ROUND($A$3*(G14-AT14)/$B$3,2))</f>
        <v>51073.83</v>
      </c>
      <c r="F14" s="29"/>
      <c r="G14" s="30">
        <f>H14+AC14+AT14</f>
        <v>59263.38</v>
      </c>
      <c r="H14" s="17">
        <f>SUMIF(I$12:AB$12,"总值",I14:AB14)</f>
        <v>59263.38</v>
      </c>
      <c r="I14" s="1513">
        <f>面积!E6</f>
        <v>59263.38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1</v>
      </c>
      <c r="AY14" s="1259">
        <f>ROUND($AY$6*AZ14/$AZ$5,2)</f>
        <v>51073.83</v>
      </c>
      <c r="AZ14" s="13">
        <f>BA14+BL14</f>
        <v>59263.38</v>
      </c>
      <c r="BA14" s="13">
        <f>SUM(BB14:BK14)</f>
        <v>59263.38</v>
      </c>
      <c r="BB14" s="13">
        <f>IF($D14="是",I14-J14,0)</f>
        <v>59263.38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3160">
        <f>面积!C7</f>
        <v>2</v>
      </c>
      <c r="D15" s="1512" t="s">
        <v>3406</v>
      </c>
      <c r="E15" s="13">
        <f>IF($C$3="是",ROUND($A$3*G15/$B$3,2),ROUND($A$3*(G15-AT15)/$B$3,2))</f>
        <v>54030.77</v>
      </c>
      <c r="F15" s="29"/>
      <c r="G15" s="30">
        <f>H15+AC15+AT15</f>
        <v>62694.46</v>
      </c>
      <c r="H15" s="17">
        <f>SUMIF(I$12:AB$12,"总值",I15:AB15)</f>
        <v>62694.46</v>
      </c>
      <c r="I15" s="1513">
        <f>面积!E7</f>
        <v>62694.46</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2</v>
      </c>
      <c r="AY15" s="1259">
        <f>ROUND($AY$6*AZ15/$AZ$5,2)</f>
        <v>54030.77</v>
      </c>
      <c r="AZ15" s="13">
        <f>BA15+BL15</f>
        <v>62694.46</v>
      </c>
      <c r="BA15" s="13">
        <f>SUM(BB15:BK15)</f>
        <v>62694.46</v>
      </c>
      <c r="BB15" s="13">
        <f>IF($D15="是",I15-J15,0)</f>
        <v>62694.46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3160">
        <f>面积!C8</f>
        <v>3</v>
      </c>
      <c r="D16" s="1512" t="s">
        <v>3406</v>
      </c>
      <c r="E16" s="13">
        <f>IF($C$3="是",ROUND($A$3*G16/$B$3,2),ROUND($A$3*(G16-AT16)/$B$3,2))</f>
        <v>50096.56</v>
      </c>
      <c r="F16" s="29"/>
      <c r="G16" s="30">
        <f>H16+AC16+AT16</f>
        <v>58129.4</v>
      </c>
      <c r="H16" s="17">
        <f>SUMIF(I$12:AB$12,"总值",I16:AB16)</f>
        <v>58129.4</v>
      </c>
      <c r="I16" s="1513">
        <f>面积!E8</f>
        <v>58129.4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3</v>
      </c>
      <c r="AY16" s="1259">
        <f>ROUND($AY$6*AZ16/$AZ$5,2)</f>
        <v>50096.56</v>
      </c>
      <c r="AZ16" s="13">
        <f>BA16+BL16</f>
        <v>58129.4</v>
      </c>
      <c r="BA16" s="13">
        <f>SUM(BB16:BK16)</f>
        <v>58129.4</v>
      </c>
      <c r="BB16" s="13">
        <f>IF($D16="是",I16-J16,0)</f>
        <v>58129.4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3160">
        <f>面积!C9</f>
        <v>4</v>
      </c>
      <c r="D17" s="1512" t="s">
        <v>3406</v>
      </c>
      <c r="E17" s="13">
        <f>IF($C$3="是",ROUND($A$3*G17/$B$3,2),ROUND($A$3*(G17-AT17)/$B$3,2))</f>
        <v>48315.42</v>
      </c>
      <c r="F17" s="29"/>
      <c r="G17" s="30">
        <f>H17+AC17+AT17</f>
        <v>56062.67</v>
      </c>
      <c r="H17" s="17">
        <f>SUMIF(I$12:AB$12,"总值",I17:AB17)</f>
        <v>56062.67</v>
      </c>
      <c r="I17" s="1513">
        <f>面积!E9</f>
        <v>56062.67</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4</v>
      </c>
      <c r="AY17" s="1259">
        <f>ROUND($AY$6*AZ17/$AZ$5,2)</f>
        <v>48315.42</v>
      </c>
      <c r="AZ17" s="13">
        <f>BA17+BL17</f>
        <v>56062.67</v>
      </c>
      <c r="BA17" s="13">
        <f>SUM(BB17:BK17)</f>
        <v>56062.67</v>
      </c>
      <c r="BB17" s="13">
        <f>IF($D17="是",I17-J17,0)</f>
        <v>56062.67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60">
        <f>面积!C10</f>
        <v>5</v>
      </c>
      <c r="D18" s="1512" t="s">
        <v>3406</v>
      </c>
      <c r="E18" s="32">
        <f t="shared" ref="E18:E112" si="7">IF($C$3="是",ROUND($A$3*G18/$B$3,2),ROUND($A$3*(G18-AT18)/$B$3,2))</f>
        <v>8067.04</v>
      </c>
      <c r="F18" s="33"/>
      <c r="G18" s="34">
        <f t="shared" ref="G18:G109" si="8">H18+AC18+AT18</f>
        <v>9360.57</v>
      </c>
      <c r="H18" s="35">
        <f t="shared" ref="H18:H109" si="9">SUMIF(I$12:AB$12,"总值",I18:AB18)</f>
        <v>9360.57</v>
      </c>
      <c r="I18" s="1513">
        <f>面积!E10</f>
        <v>9360.57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5</v>
      </c>
      <c r="AY18" s="38">
        <f t="shared" ref="AY18:AY109" si="14">ROUND($AY$6*AZ18/$AZ$5,2)</f>
        <v>8067.04</v>
      </c>
      <c r="AZ18" s="32">
        <f t="shared" ref="AZ18:AZ109" si="15">BA18+BL18</f>
        <v>9360.57</v>
      </c>
      <c r="BA18" s="32">
        <f t="shared" ref="BA18:BA109" si="16">SUM(BB18:BK18)</f>
        <v>9360.57</v>
      </c>
      <c r="BB18" s="32">
        <f t="shared" ref="BB18:BB109" si="17">IF($D18="是",I18-J18,0)</f>
        <v>9360.57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60">
        <f>面积!C11</f>
        <v>6</v>
      </c>
      <c r="D19" s="1512" t="s">
        <v>3406</v>
      </c>
      <c r="E19" s="32">
        <f t="shared" si="7"/>
        <v>5089.3900000000003</v>
      </c>
      <c r="F19" s="33"/>
      <c r="G19" s="34">
        <f t="shared" si="8"/>
        <v>5905.46</v>
      </c>
      <c r="H19" s="35">
        <f t="shared" si="9"/>
        <v>5905.46</v>
      </c>
      <c r="I19" s="1513">
        <f>面积!E11</f>
        <v>5905.46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6</v>
      </c>
      <c r="AY19" s="38">
        <f t="shared" si="14"/>
        <v>5089.3900000000003</v>
      </c>
      <c r="AZ19" s="32">
        <f t="shared" si="15"/>
        <v>5905.46</v>
      </c>
      <c r="BA19" s="32">
        <f t="shared" si="16"/>
        <v>5905.46</v>
      </c>
      <c r="BB19" s="32">
        <f t="shared" si="17"/>
        <v>5905.46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60" t="str">
        <f>面积!C12</f>
        <v>屋顶</v>
      </c>
      <c r="D20" s="1512" t="s">
        <v>3406</v>
      </c>
      <c r="E20" s="32">
        <f t="shared" si="7"/>
        <v>395.76</v>
      </c>
      <c r="F20" s="33"/>
      <c r="G20" s="34">
        <f t="shared" si="8"/>
        <v>459.22</v>
      </c>
      <c r="H20" s="35">
        <f t="shared" si="9"/>
        <v>459.22</v>
      </c>
      <c r="I20" s="1513">
        <f>面积!E12</f>
        <v>459.22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屋顶</v>
      </c>
      <c r="AY20" s="38">
        <f t="shared" si="14"/>
        <v>395.76</v>
      </c>
      <c r="AZ20" s="32">
        <f t="shared" si="15"/>
        <v>459.22</v>
      </c>
      <c r="BA20" s="32">
        <f t="shared" si="16"/>
        <v>459.22</v>
      </c>
      <c r="BB20" s="32">
        <f t="shared" si="17"/>
        <v>459.22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F41" sqref="F4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28" t="s">
        <v>1131</v>
      </c>
      <c r="B2" s="3328"/>
      <c r="C2" s="3328"/>
      <c r="D2" s="748" t="s">
        <v>1107</v>
      </c>
      <c r="E2" s="1522" t="s">
        <v>1108</v>
      </c>
      <c r="F2" s="2438"/>
      <c r="G2" s="2431"/>
      <c r="H2" s="2432"/>
      <c r="I2" s="2145" t="s">
        <v>1132</v>
      </c>
      <c r="J2" s="2438"/>
      <c r="K2" s="2438"/>
      <c r="L2" s="2438"/>
      <c r="M2" s="2438"/>
      <c r="N2" s="2439"/>
      <c r="O2" s="2438"/>
      <c r="P2" s="2438"/>
    </row>
    <row r="3" spans="1:16" ht="15.75" thickBot="1">
      <c r="A3" s="3329" t="s">
        <v>1105</v>
      </c>
      <c r="B3" s="3329"/>
      <c r="C3" s="3329"/>
      <c r="D3" s="41">
        <f>'数据-基础表'!AY6</f>
        <v>217068.78</v>
      </c>
      <c r="E3" s="41">
        <f>'数据-基础表'!AZ5</f>
        <v>251875.15999999997</v>
      </c>
      <c r="F3" s="2438"/>
      <c r="G3" s="42"/>
      <c r="H3" s="43" t="s">
        <v>1106</v>
      </c>
      <c r="I3" s="802">
        <f>ROUND('数据-基础表'!B3/'数据-基础表'!A3,2)</f>
        <v>1.1599999999999999</v>
      </c>
      <c r="J3" s="2438"/>
      <c r="K3" s="2438"/>
      <c r="L3" s="2438"/>
      <c r="M3" s="2438"/>
      <c r="N3" s="2439"/>
      <c r="O3" s="2438"/>
      <c r="P3" s="2438"/>
    </row>
    <row r="4" spans="1:16" ht="15">
      <c r="A4" s="3330"/>
      <c r="B4" s="3331"/>
      <c r="C4" s="3332"/>
      <c r="D4" s="1523" t="s">
        <v>1107</v>
      </c>
      <c r="E4" s="1524" t="s">
        <v>1108</v>
      </c>
      <c r="F4" s="2438"/>
      <c r="G4" s="2433" t="s">
        <v>1133</v>
      </c>
      <c r="H4" s="43" t="s">
        <v>1113</v>
      </c>
      <c r="I4" s="802">
        <f>ROUND(SUMIF('数据-基础表'!I9:AS9,"地上",'数据-基础表'!I5:AS5)/'数据-基础表'!A3,2)</f>
        <v>1.1499999999999999</v>
      </c>
      <c r="J4" s="2438"/>
      <c r="K4" s="2438"/>
      <c r="L4" s="2438"/>
      <c r="M4" s="2438"/>
      <c r="N4" s="2439"/>
      <c r="O4" s="2438"/>
      <c r="P4" s="2438"/>
    </row>
    <row r="5" spans="1:16">
      <c r="A5" s="42" t="s">
        <v>1109</v>
      </c>
      <c r="B5" s="3333" t="s">
        <v>1110</v>
      </c>
      <c r="C5" s="3333"/>
      <c r="D5" s="43">
        <f>ROUND($D$3*E5/$E$3,2)</f>
        <v>0</v>
      </c>
      <c r="E5" s="44">
        <f>SUMIF('数据-基础表'!$11:$11,"住宅",'数据-基础表'!$5:$5)</f>
        <v>0</v>
      </c>
      <c r="F5" s="2438"/>
      <c r="G5" s="42"/>
      <c r="H5" s="43" t="s">
        <v>1106</v>
      </c>
      <c r="I5" s="802">
        <f>ROUND(E31/D31,2)</f>
        <v>1.1599999999999999</v>
      </c>
      <c r="J5" s="2438"/>
      <c r="K5" s="2438"/>
      <c r="L5" s="2438"/>
      <c r="M5" s="2438"/>
      <c r="N5" s="2438"/>
      <c r="O5" s="2438"/>
      <c r="P5" s="2438"/>
    </row>
    <row r="6" spans="1:16" ht="15" thickBot="1">
      <c r="A6" s="1526"/>
      <c r="B6" s="3333" t="s">
        <v>1111</v>
      </c>
      <c r="C6" s="3333"/>
      <c r="D6" s="43">
        <f>ROUND($D$3*E6/$E$3,2)</f>
        <v>217068.78</v>
      </c>
      <c r="E6" s="44">
        <f>E3-E5</f>
        <v>251875.15999999997</v>
      </c>
      <c r="F6" s="2438"/>
      <c r="G6" s="1528" t="s">
        <v>1112</v>
      </c>
      <c r="H6" s="45" t="s">
        <v>1113</v>
      </c>
      <c r="I6" s="2434">
        <f>ROUND(F31/D31,2)</f>
        <v>1.1599999999999999</v>
      </c>
      <c r="J6" s="2438"/>
      <c r="K6" s="2438"/>
      <c r="L6" s="2438"/>
      <c r="M6" s="2438"/>
      <c r="N6" s="2438"/>
      <c r="O6" s="2438"/>
      <c r="P6" s="2438"/>
    </row>
    <row r="7" spans="1:16" ht="15.75" thickBot="1">
      <c r="A7" s="3325"/>
      <c r="B7" s="3326"/>
      <c r="C7" s="332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217068.78</v>
      </c>
      <c r="E8" s="46">
        <f>SUMIF('数据-基础表'!BB10:BK10,"地上",'数据-基础表'!BB5:BK5)</f>
        <v>251875.15999999997</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217068.78</v>
      </c>
      <c r="E16" s="48">
        <f>SUM(E8:E15)</f>
        <v>251875.15999999997</v>
      </c>
      <c r="F16" s="2438"/>
      <c r="G16" s="2438"/>
      <c r="H16" s="1530" t="s">
        <v>1135</v>
      </c>
      <c r="I16" s="1531"/>
      <c r="J16" s="1071"/>
      <c r="K16" s="3322" t="s">
        <v>1135</v>
      </c>
      <c r="L16" s="3323"/>
      <c r="M16" s="3323"/>
      <c r="N16" s="3323"/>
      <c r="O16" s="3323"/>
      <c r="P16" s="3324"/>
    </row>
    <row r="17" spans="1:19" ht="15">
      <c r="A17" s="1532" t="s">
        <v>1136</v>
      </c>
      <c r="B17" s="1533" t="s">
        <v>1137</v>
      </c>
      <c r="C17" s="1534" t="s">
        <v>1138</v>
      </c>
      <c r="D17" s="1535" t="s">
        <v>1126</v>
      </c>
      <c r="E17" s="1536" t="s">
        <v>1127</v>
      </c>
      <c r="F17" s="1537"/>
      <c r="G17" s="1538"/>
      <c r="H17" s="1539" t="s">
        <v>1139</v>
      </c>
      <c r="I17" s="1540" t="s">
        <v>1124</v>
      </c>
      <c r="J17" s="1071"/>
      <c r="K17" s="3319" t="s">
        <v>1140</v>
      </c>
      <c r="L17" s="3320"/>
      <c r="M17" s="3321"/>
      <c r="N17" s="3319" t="s">
        <v>1141</v>
      </c>
      <c r="O17" s="3320"/>
      <c r="P17" s="332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3408</v>
      </c>
      <c r="D19" s="43">
        <f>ROUND($D$3*E19/$E$3,2)</f>
        <v>217068.78</v>
      </c>
      <c r="E19" s="51">
        <f t="shared" ref="E19:E26" si="1">SUM(F19:G19)</f>
        <v>251875.15999999997</v>
      </c>
      <c r="F19" s="2557">
        <f>'数据-基础表'!I5</f>
        <v>251875.15999999997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217068.78</v>
      </c>
      <c r="S19" s="51">
        <f t="shared" si="5"/>
        <v>251875.15999999997</v>
      </c>
    </row>
    <row r="20" spans="1:19">
      <c r="A20" s="1548"/>
      <c r="B20" s="45" t="s">
        <v>1153</v>
      </c>
      <c r="C20" s="3113"/>
      <c r="D20" s="43">
        <f t="shared" ref="D20:D26" si="6">ROUND($D$3*E20/$E$3,2)</f>
        <v>0</v>
      </c>
      <c r="E20" s="51">
        <f t="shared" si="1"/>
        <v>0</v>
      </c>
      <c r="F20" s="2557"/>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217068.78</v>
      </c>
      <c r="E27" s="1073">
        <f>IF(SUM(E19:E26)='数据-基础表'!BA5,SUM(E19:E26),IF(F27="地上面积有误","面积有误","地下面积有误"))</f>
        <v>251875.15999999997</v>
      </c>
      <c r="F27" s="1072">
        <f>IF(SUM(F19:F26)=E8,SUM(F19:F26),"地上面积有误")</f>
        <v>251875.15999999997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217068.78</v>
      </c>
      <c r="S27" s="43">
        <f>IF(SUM(S19:S26)=$E$3,SUM(S19:S26),SUM(S19:S26)&amp;"误差"&amp;ROUND(SUM(S19:S26)-E3,2))</f>
        <v>251875.15999999997</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217068.78</v>
      </c>
      <c r="E31" s="643">
        <f>E27+E30</f>
        <v>251875.15999999997</v>
      </c>
      <c r="F31" s="644">
        <f>F27+F30</f>
        <v>251875.15999999997</v>
      </c>
      <c r="G31" s="645">
        <f>G27+G30</f>
        <v>0</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42" activePane="bottomRight" state="frozen"/>
      <selection activeCell="C50" sqref="C50"/>
      <selection pane="topRight" activeCell="C50" sqref="C50"/>
      <selection pane="bottomLeft" activeCell="C50" sqref="C50"/>
      <selection pane="bottomRight" activeCell="E58" sqref="E5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45792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3409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5">
        <f>SUMIF(项目基本情况!C$12:I$12,C6,项目基本情况!C$14:I$14)</f>
        <v>40</v>
      </c>
      <c r="E6" s="804">
        <f>IF(B6="","",SUMIF(项目基本情况!C$12:I$12,C6,项目基本情况!C$13:I$13))</f>
        <v>55414</v>
      </c>
      <c r="F6" s="61">
        <f>SUMIF(项目基本情况!C$12:I$12,C6,项目基本情况!C$15:I$15)</f>
        <v>26.36</v>
      </c>
      <c r="G6" s="62">
        <f>IF(ISERROR(ROUND(POWER(1+H6,D6-F6)*(POWER(1+H6,F6)-1)/(POWER(1+H6,D6)-1),3)),0,ROUND(POWER(1+H6,D6-F6)*(POWER(1+H6,F6)-1)/(POWER(1+H6,D6)-1),3))</f>
        <v>0.84299999999999997</v>
      </c>
      <c r="H6" s="691">
        <v>0.05</v>
      </c>
      <c r="I6" s="691">
        <v>5.5E-2</v>
      </c>
      <c r="J6" s="63">
        <v>7.0000000000000007E-2</v>
      </c>
      <c r="K6" s="970">
        <f>SUMIF('数据-汇总表'!C$19:C$33,A6,'数据-汇总表'!E$19:E$33)</f>
        <v>251875.15999999997</v>
      </c>
      <c r="L6" s="692">
        <v>6500</v>
      </c>
      <c r="M6" s="64">
        <f t="shared" ref="M6:M14" si="0">ROUND(K6*L6/10000,0)</f>
        <v>163719</v>
      </c>
      <c r="N6" s="690">
        <f>ROUND(1-(1-0%)*(2025-2015)/60,2)</f>
        <v>0.83</v>
      </c>
      <c r="O6" s="64" t="str">
        <f>IF($N$5="成新度","——",ROUND(M6*N6,0))</f>
        <v>——</v>
      </c>
      <c r="P6" s="65" t="str">
        <f>IF($N$5="成新度","——",M6-O6)</f>
        <v>——</v>
      </c>
      <c r="Q6" s="693">
        <v>0.2</v>
      </c>
      <c r="R6" s="66">
        <f ca="1">SUMIF('数据-汇总表'!C$19:C$33,A6,'数据-汇总表'!R$19:R$27)</f>
        <v>217068.78</v>
      </c>
      <c r="S6" s="49">
        <f>IF('数据-汇总表'!$I$17="按面积比例",SUMIF('数据-汇总表'!C$19:C$33,A6,'数据-汇总表'!K$19:K$33),SUMIF('数据-汇总表'!C$19:C$33,A6,'数据-汇总表'!N$19:N$33))</f>
        <v>0</v>
      </c>
      <c r="T6" s="1092">
        <f>ROUND($L$14*S6/10000,0)</f>
        <v>0</v>
      </c>
      <c r="U6" s="3124">
        <v>2.5</v>
      </c>
      <c r="V6" s="67">
        <v>0.02</v>
      </c>
      <c r="W6" s="67">
        <v>0.1</v>
      </c>
      <c r="X6" s="979"/>
      <c r="Y6" s="68">
        <f>N6</f>
        <v>0.83</v>
      </c>
      <c r="Z6" s="69"/>
      <c r="AA6" s="63"/>
      <c r="AB6" s="63"/>
      <c r="AC6" s="979"/>
      <c r="AD6" s="70"/>
      <c r="AE6" s="980">
        <f ca="1">IF(AN6="",0,SUMIF(INDIRECT("'"&amp;AN6&amp;"'"&amp;"!E:E"),$AE$5,INDIRECT("'"&amp;AN6&amp;"'"&amp;"!F:F")))</f>
        <v>26.36</v>
      </c>
      <c r="AF6" s="74"/>
      <c r="AG6" s="130">
        <f>IF(AF6="",0,AE6-AF6)</f>
        <v>0</v>
      </c>
      <c r="AH6" s="71"/>
      <c r="AI6" s="73">
        <v>365</v>
      </c>
      <c r="AJ6" s="74"/>
      <c r="AK6" s="75">
        <v>0.01</v>
      </c>
      <c r="AL6" s="76">
        <v>1E-3</v>
      </c>
      <c r="AM6" s="77">
        <v>0.02</v>
      </c>
      <c r="AN6" s="1588" t="s">
        <v>3410</v>
      </c>
      <c r="AO6" s="50">
        <f ca="1">SUMIF(INDIRECT("'"&amp;AN6&amp;"'"&amp;"!A:A"),"总价",INDIRECT("'"&amp;AN6&amp;"'"&amp;"!B:B"))</f>
        <v>246617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0.84299999999999997</v>
      </c>
      <c r="H16" s="84">
        <f>ROUND(SUMPRODUCT(H6:H13,K6:K13)/SUMPRODUCT((H6:H13&gt;0)*(K6:K13)),3)</f>
        <v>0.05</v>
      </c>
      <c r="I16" s="85"/>
      <c r="J16" s="85"/>
      <c r="K16" s="86">
        <f>SUM(K6:K15)</f>
        <v>251875.15999999997</v>
      </c>
      <c r="L16" s="87">
        <f>ROUND(M16*10000/SUM(K6:K14),0)</f>
        <v>6500</v>
      </c>
      <c r="M16" s="87">
        <f>SUM(M6:M14)</f>
        <v>163719</v>
      </c>
      <c r="N16" s="88">
        <f>ROUND(SUMPRODUCT(M6:M14,N6:N14)/M16,3)</f>
        <v>0.83</v>
      </c>
      <c r="O16" s="87">
        <f>SUM(O6:O14)</f>
        <v>0</v>
      </c>
      <c r="P16" s="87">
        <f>SUM(P6:P14)</f>
        <v>0</v>
      </c>
      <c r="Q16" s="89">
        <f>ROUND(SUMPRODUCT(Q6:Q13,K6:K13)/SUMPRODUCT((Q6:Q13&gt;0)*(K6:K13)),2)</f>
        <v>0.2</v>
      </c>
      <c r="R16" s="974">
        <f ca="1">SUM(R6:R13)</f>
        <v>217068.78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3</v>
      </c>
      <c r="C20" s="2561" t="s">
        <v>2290</v>
      </c>
      <c r="D20" s="2451"/>
      <c r="E20" s="2438"/>
      <c r="F20" s="2438"/>
      <c r="G20" s="2438"/>
      <c r="H20" s="3334" t="s">
        <v>3605</v>
      </c>
      <c r="I20" s="3334"/>
      <c r="J20" s="3334"/>
      <c r="K20" s="3187" t="s">
        <v>3620</v>
      </c>
      <c r="L20" s="2449"/>
      <c r="M20" s="2448"/>
      <c r="N20" s="2448"/>
      <c r="O20" s="2448"/>
      <c r="P20" s="3170" t="s">
        <v>3583</v>
      </c>
      <c r="Q20" s="3171" t="s">
        <v>3584</v>
      </c>
      <c r="R20" s="3171" t="s">
        <v>3585</v>
      </c>
      <c r="S20" s="3171" t="s">
        <v>3586</v>
      </c>
      <c r="T20" s="3170" t="s">
        <v>3752</v>
      </c>
      <c r="U20" s="3171"/>
      <c r="V20" s="3171"/>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3</v>
      </c>
      <c r="C21" s="2438"/>
      <c r="D21" s="2451"/>
      <c r="E21" s="2438"/>
      <c r="F21" s="2438"/>
      <c r="G21" s="2438"/>
      <c r="H21" s="3334" t="s">
        <v>3606</v>
      </c>
      <c r="I21" s="3334"/>
      <c r="J21" s="3175"/>
      <c r="K21" s="3187" t="s">
        <v>3621</v>
      </c>
      <c r="L21" s="2449"/>
      <c r="M21" s="2448"/>
      <c r="N21" s="2448"/>
      <c r="O21" s="2448"/>
      <c r="P21" s="3171">
        <v>1</v>
      </c>
      <c r="Q21" s="3171">
        <v>1</v>
      </c>
      <c r="R21" s="3172">
        <v>3</v>
      </c>
      <c r="S21" s="3171">
        <f>'数据-汇总表'!F19/6</f>
        <v>41979.193333333329</v>
      </c>
      <c r="T21" s="3173">
        <v>15000</v>
      </c>
      <c r="U21" s="3171">
        <f>R21*S21</f>
        <v>125937.57999999999</v>
      </c>
      <c r="V21" s="3171">
        <f>S21*T21</f>
        <v>629687899.99999988</v>
      </c>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3</v>
      </c>
      <c r="C22" s="2438"/>
      <c r="D22" s="2451"/>
      <c r="E22" s="2438"/>
      <c r="F22" s="2438"/>
      <c r="G22" s="2438"/>
      <c r="H22" s="3334"/>
      <c r="I22" s="3334"/>
      <c r="J22" s="3184" t="s">
        <v>3607</v>
      </c>
      <c r="K22" s="3185">
        <v>6</v>
      </c>
      <c r="L22" s="2449"/>
      <c r="M22" s="2448"/>
      <c r="N22" s="2448"/>
      <c r="O22" s="2448"/>
      <c r="P22" s="3171">
        <v>2</v>
      </c>
      <c r="Q22" s="3171">
        <v>0.85</v>
      </c>
      <c r="R22" s="3171">
        <f>R21*Q22</f>
        <v>2.5499999999999998</v>
      </c>
      <c r="S22" s="3171">
        <f>S21</f>
        <v>41979.193333333329</v>
      </c>
      <c r="T22" s="3173">
        <f>$T$21*Q22</f>
        <v>12750</v>
      </c>
      <c r="U22" s="3171">
        <f t="shared" ref="U22:U26" si="12">R22*S22</f>
        <v>107046.94299999998</v>
      </c>
      <c r="V22" s="3171">
        <f t="shared" ref="V22:V26" si="13">S22*T22</f>
        <v>535234714.99999994</v>
      </c>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3</v>
      </c>
      <c r="C23" s="2438"/>
      <c r="D23" s="2451"/>
      <c r="E23" s="2438"/>
      <c r="F23" s="2438"/>
      <c r="G23" s="2438"/>
      <c r="H23" s="3334"/>
      <c r="I23" s="3334"/>
      <c r="J23" s="3184" t="s">
        <v>3608</v>
      </c>
      <c r="K23" s="3185">
        <v>1</v>
      </c>
      <c r="L23" s="2449"/>
      <c r="M23" s="2448"/>
      <c r="N23" s="2448"/>
      <c r="O23" s="2448"/>
      <c r="P23" s="3171">
        <v>3</v>
      </c>
      <c r="Q23" s="3171">
        <v>0.75</v>
      </c>
      <c r="R23" s="3171">
        <f t="shared" ref="R23:R26" si="14">$R$21*Q23</f>
        <v>2.25</v>
      </c>
      <c r="S23" s="3171">
        <f t="shared" ref="S23:S26" si="15">S22</f>
        <v>41979.193333333329</v>
      </c>
      <c r="T23" s="3173">
        <f t="shared" ref="T23:T26" si="16">$T$21*Q23</f>
        <v>11250</v>
      </c>
      <c r="U23" s="3171">
        <f t="shared" si="12"/>
        <v>94453.184999999998</v>
      </c>
      <c r="V23" s="3171">
        <f t="shared" si="13"/>
        <v>472265924.99999994</v>
      </c>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3334" t="s">
        <v>3609</v>
      </c>
      <c r="I24" s="3334"/>
      <c r="J24" s="3186" t="s">
        <v>3610</v>
      </c>
      <c r="K24" s="3185">
        <f>K25+K26</f>
        <v>254464.13999999998</v>
      </c>
      <c r="L24" s="2449"/>
      <c r="M24" s="2448"/>
      <c r="N24" s="2448"/>
      <c r="O24" s="2448"/>
      <c r="P24" s="3171">
        <v>4</v>
      </c>
      <c r="Q24" s="3171">
        <v>0.75</v>
      </c>
      <c r="R24" s="3171">
        <f t="shared" si="14"/>
        <v>2.25</v>
      </c>
      <c r="S24" s="3171">
        <f t="shared" si="15"/>
        <v>41979.193333333329</v>
      </c>
      <c r="T24" s="3173">
        <f t="shared" si="16"/>
        <v>11250</v>
      </c>
      <c r="U24" s="3171">
        <f t="shared" si="12"/>
        <v>94453.184999999998</v>
      </c>
      <c r="V24" s="3171">
        <f t="shared" si="13"/>
        <v>472265924.99999994</v>
      </c>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3334"/>
      <c r="I25" s="3334"/>
      <c r="J25" s="3184" t="s">
        <v>3607</v>
      </c>
      <c r="K25" s="3179">
        <f>面积!E15</f>
        <v>251875.15999999997</v>
      </c>
      <c r="L25" s="2449"/>
      <c r="M25" s="2448"/>
      <c r="N25" s="2448"/>
      <c r="O25" s="2448"/>
      <c r="P25" s="3171">
        <v>5</v>
      </c>
      <c r="Q25" s="3171">
        <v>0.7</v>
      </c>
      <c r="R25" s="3171">
        <f t="shared" si="14"/>
        <v>2.0999999999999996</v>
      </c>
      <c r="S25" s="3171">
        <f t="shared" si="15"/>
        <v>41979.193333333329</v>
      </c>
      <c r="T25" s="3173">
        <f t="shared" si="16"/>
        <v>10500</v>
      </c>
      <c r="U25" s="3171">
        <f t="shared" si="12"/>
        <v>88156.305999999982</v>
      </c>
      <c r="V25" s="3171">
        <f t="shared" si="13"/>
        <v>440781529.99999994</v>
      </c>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3334"/>
      <c r="I26" s="3334"/>
      <c r="J26" s="3184" t="s">
        <v>3608</v>
      </c>
      <c r="K26" s="3179">
        <f>面积!E5</f>
        <v>2588.98</v>
      </c>
      <c r="L26" s="2449"/>
      <c r="M26" s="2448"/>
      <c r="N26" s="2448"/>
      <c r="O26" s="2448"/>
      <c r="P26" s="3171">
        <v>6</v>
      </c>
      <c r="Q26" s="3171">
        <v>0.6</v>
      </c>
      <c r="R26" s="3171">
        <f t="shared" si="14"/>
        <v>1.7999999999999998</v>
      </c>
      <c r="S26" s="3171">
        <f t="shared" si="15"/>
        <v>41979.193333333329</v>
      </c>
      <c r="T26" s="3173">
        <f t="shared" si="16"/>
        <v>9000</v>
      </c>
      <c r="U26" s="3171">
        <f t="shared" si="12"/>
        <v>75562.547999999981</v>
      </c>
      <c r="V26" s="3171">
        <f t="shared" si="13"/>
        <v>377812739.99999994</v>
      </c>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2294</v>
      </c>
      <c r="D27" s="2454"/>
      <c r="E27" s="2439"/>
      <c r="F27" s="2439"/>
      <c r="G27" s="2438"/>
      <c r="H27" s="3335" t="s">
        <v>3611</v>
      </c>
      <c r="I27" s="3336" t="s">
        <v>3612</v>
      </c>
      <c r="J27" s="3337"/>
      <c r="K27" s="3183">
        <f t="shared" ref="K27" si="17">K28+K32+K31</f>
        <v>6536</v>
      </c>
      <c r="L27" s="2449"/>
      <c r="M27" s="2448"/>
      <c r="N27" s="2448"/>
      <c r="O27" s="2448"/>
      <c r="P27" s="3170" t="s">
        <v>2800</v>
      </c>
      <c r="Q27" s="3171"/>
      <c r="R27" s="3174">
        <f>ROUND(U27/S27,2)</f>
        <v>2.33</v>
      </c>
      <c r="S27" s="3171">
        <f>SUM(S21:S26)</f>
        <v>251875.15999999997</v>
      </c>
      <c r="T27" s="3174">
        <f>V27/S27</f>
        <v>11625</v>
      </c>
      <c r="U27" s="3171">
        <f>SUM(U21:U26)</f>
        <v>585609.74699999997</v>
      </c>
      <c r="V27" s="3171">
        <f>SUM(V21:V26)</f>
        <v>2928048734.9999995</v>
      </c>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120</v>
      </c>
      <c r="C28" s="2455"/>
      <c r="D28" s="2454"/>
      <c r="E28" s="2439"/>
      <c r="F28" s="2439"/>
      <c r="G28" s="2438"/>
      <c r="H28" s="3335"/>
      <c r="I28" s="3334" t="s">
        <v>3613</v>
      </c>
      <c r="J28" s="3182" t="s">
        <v>3610</v>
      </c>
      <c r="K28" s="3188">
        <f>ROUND((L29+L30)/K24,0)</f>
        <v>2036</v>
      </c>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3023</v>
      </c>
      <c r="C29" s="2563" t="s">
        <v>2284</v>
      </c>
      <c r="D29" s="2454"/>
      <c r="E29" s="2439"/>
      <c r="F29" s="2439"/>
      <c r="G29" s="2438"/>
      <c r="H29" s="3335"/>
      <c r="I29" s="3334"/>
      <c r="J29" s="3184" t="s">
        <v>3607</v>
      </c>
      <c r="K29" s="3179">
        <v>2008</v>
      </c>
      <c r="L29" s="2449">
        <f>K29*K25</f>
        <v>505765321.27999997</v>
      </c>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3335"/>
      <c r="I30" s="3334"/>
      <c r="J30" s="3184" t="s">
        <v>3608</v>
      </c>
      <c r="K30" s="3179">
        <v>4793</v>
      </c>
      <c r="L30" s="2449">
        <f>K30*K26</f>
        <v>12408981.140000001</v>
      </c>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3335"/>
      <c r="I31" s="3338" t="s">
        <v>3614</v>
      </c>
      <c r="J31" s="3338"/>
      <c r="K31" s="3178">
        <v>2000</v>
      </c>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3335"/>
      <c r="I32" s="3339" t="s">
        <v>3615</v>
      </c>
      <c r="J32" s="3339"/>
      <c r="K32" s="3181">
        <v>2500</v>
      </c>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0.1</v>
      </c>
      <c r="C33" s="2564" t="s">
        <v>3373</v>
      </c>
      <c r="D33" s="2451"/>
      <c r="E33" s="2438"/>
      <c r="F33" s="2438"/>
      <c r="G33" s="2438"/>
      <c r="H33" s="3186"/>
      <c r="I33" s="3186"/>
      <c r="J33" s="3186"/>
      <c r="K33" s="3186"/>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2291</v>
      </c>
      <c r="E34" s="2457"/>
      <c r="F34" s="2438"/>
      <c r="G34" s="2438"/>
      <c r="H34" s="3186"/>
      <c r="I34" s="3186"/>
      <c r="J34" s="3186"/>
      <c r="K34" s="3186"/>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3186"/>
      <c r="I35" s="3180" t="s">
        <v>3616</v>
      </c>
      <c r="J35" s="3186"/>
      <c r="K35" s="3186"/>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0.03</v>
      </c>
      <c r="C36" s="2564" t="s">
        <v>3391</v>
      </c>
      <c r="D36" s="2451"/>
      <c r="E36" s="2438"/>
      <c r="F36" s="2438"/>
      <c r="G36" s="2438"/>
      <c r="H36" s="3186"/>
      <c r="I36" s="3180" t="s">
        <v>3617</v>
      </c>
      <c r="J36" s="3186"/>
      <c r="K36" s="3191">
        <f>K28/K27</f>
        <v>0.31150550795593634</v>
      </c>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0.03</v>
      </c>
      <c r="C37" s="2564" t="s">
        <v>3374</v>
      </c>
      <c r="D37" s="2451"/>
      <c r="E37" s="2438"/>
      <c r="F37" s="2438"/>
      <c r="G37" s="2438"/>
      <c r="H37" s="3186"/>
      <c r="I37" s="3180" t="s">
        <v>3618</v>
      </c>
      <c r="J37" s="3186"/>
      <c r="K37" s="3191">
        <f>K31/K27</f>
        <v>0.30599755201958384</v>
      </c>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0.03</v>
      </c>
      <c r="C38" s="2564" t="s">
        <v>3375</v>
      </c>
      <c r="D38" s="2451"/>
      <c r="E38" s="2438"/>
      <c r="F38" s="2438"/>
      <c r="G38" s="2438"/>
      <c r="H38" s="3186"/>
      <c r="I38" s="3180" t="s">
        <v>3619</v>
      </c>
      <c r="J38" s="3186"/>
      <c r="K38" s="3191">
        <f>K32/K27</f>
        <v>0.38249694002447981</v>
      </c>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303</v>
      </c>
      <c r="C53" s="2439"/>
      <c r="D53" s="2565" t="s">
        <v>2293</v>
      </c>
      <c r="E53" s="2438"/>
      <c r="F53" s="2438"/>
      <c r="G53" s="2438"/>
      <c r="H53" s="2438" t="s">
        <v>3753</v>
      </c>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c r="C57" s="2439"/>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v>5</v>
      </c>
      <c r="C58" s="2439"/>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mergeCells count="8">
    <mergeCell ref="H20:J20"/>
    <mergeCell ref="H21:I23"/>
    <mergeCell ref="H24:I26"/>
    <mergeCell ref="H27:H32"/>
    <mergeCell ref="I27:J27"/>
    <mergeCell ref="I28:I30"/>
    <mergeCell ref="I31:J31"/>
    <mergeCell ref="I32:J32"/>
  </mergeCells>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340" t="s">
        <v>2276</v>
      </c>
      <c r="B1" s="3341"/>
      <c r="C1" s="3341"/>
      <c r="D1" s="3341"/>
      <c r="E1" s="3341"/>
      <c r="F1" s="3341"/>
      <c r="G1" s="334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0" t="s">
        <v>2254</v>
      </c>
      <c r="G4" s="2270"/>
      <c r="H4" s="751"/>
      <c r="I4" s="751"/>
      <c r="J4" s="751"/>
      <c r="K4" s="751"/>
      <c r="L4" s="751"/>
      <c r="M4" s="751"/>
      <c r="N4" s="751"/>
      <c r="O4" s="751"/>
      <c r="P4" s="751"/>
      <c r="Q4" s="751"/>
    </row>
    <row r="5" spans="1:29">
      <c r="A5" s="2247"/>
      <c r="B5" s="315" t="s">
        <v>2255</v>
      </c>
      <c r="C5" s="2268"/>
      <c r="D5" s="2265"/>
      <c r="E5" s="2269"/>
      <c r="F5" s="315" t="s">
        <v>2256</v>
      </c>
      <c r="G5" s="2270"/>
      <c r="H5" s="751"/>
      <c r="I5" s="751"/>
      <c r="J5" s="751"/>
      <c r="K5" s="751"/>
      <c r="L5" s="751"/>
      <c r="M5" s="751"/>
      <c r="N5" s="751"/>
      <c r="O5" s="751"/>
      <c r="P5" s="751"/>
      <c r="Q5" s="751"/>
    </row>
    <row r="6" spans="1:29">
      <c r="A6" s="2247"/>
      <c r="B6" s="315" t="s">
        <v>2257</v>
      </c>
      <c r="C6" s="2270"/>
      <c r="D6" s="2265"/>
      <c r="E6" s="2269"/>
      <c r="F6" s="315" t="s">
        <v>2258</v>
      </c>
      <c r="G6" s="2270"/>
      <c r="H6" s="751"/>
      <c r="I6" s="751"/>
      <c r="J6" s="751"/>
      <c r="K6" s="751"/>
      <c r="L6" s="751"/>
      <c r="M6" s="751"/>
      <c r="N6" s="751"/>
      <c r="O6" s="751"/>
      <c r="P6" s="751"/>
      <c r="Q6" s="751"/>
    </row>
    <row r="7" spans="1:29" ht="15" thickBot="1">
      <c r="A7" s="2247"/>
      <c r="B7" s="315" t="s">
        <v>2256</v>
      </c>
      <c r="C7" s="2270"/>
      <c r="D7" s="2244"/>
      <c r="E7" s="2271"/>
      <c r="F7" s="2272" t="s">
        <v>2259</v>
      </c>
      <c r="G7" s="2273"/>
      <c r="H7" s="751"/>
      <c r="I7" s="751"/>
      <c r="J7" s="751"/>
      <c r="K7" s="751"/>
      <c r="L7" s="751"/>
      <c r="M7" s="751"/>
      <c r="N7" s="751"/>
      <c r="O7" s="751"/>
      <c r="P7" s="751"/>
      <c r="Q7" s="751"/>
    </row>
    <row r="8" spans="1:29">
      <c r="A8" s="2247"/>
      <c r="B8" s="315" t="s">
        <v>2258</v>
      </c>
      <c r="C8" s="2270"/>
      <c r="D8" s="2244"/>
      <c r="E8" s="2244"/>
      <c r="F8" s="121"/>
      <c r="G8" s="121"/>
      <c r="H8" s="751"/>
      <c r="I8" s="751"/>
      <c r="J8" s="751"/>
      <c r="K8" s="751"/>
      <c r="L8" s="751"/>
      <c r="M8" s="751"/>
      <c r="N8" s="751"/>
      <c r="O8" s="751"/>
      <c r="P8" s="751"/>
      <c r="Q8" s="751"/>
    </row>
    <row r="9" spans="1:29">
      <c r="A9" s="2247"/>
      <c r="B9" s="315" t="s">
        <v>2260</v>
      </c>
      <c r="C9" s="2268"/>
      <c r="D9" s="2265"/>
      <c r="E9" s="2244"/>
      <c r="F9" s="121"/>
      <c r="G9" s="121"/>
      <c r="H9" s="751"/>
      <c r="I9" s="751"/>
      <c r="J9" s="751"/>
      <c r="K9" s="751"/>
      <c r="L9" s="751"/>
      <c r="M9" s="751"/>
      <c r="N9" s="751"/>
      <c r="O9" s="751"/>
      <c r="P9" s="751"/>
      <c r="Q9" s="751"/>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1"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1"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M10" sqref="M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251875.15999999997</v>
      </c>
      <c r="C1" s="2461"/>
      <c r="D1" s="2461"/>
      <c r="E1" s="2461"/>
      <c r="F1" s="2461"/>
      <c r="G1" s="2462"/>
      <c r="H1" s="2462"/>
      <c r="I1" s="2462"/>
      <c r="J1" s="2462"/>
      <c r="K1" s="2462"/>
    </row>
    <row r="2" spans="1:11" ht="16.5">
      <c r="A2" s="2299" t="s">
        <v>653</v>
      </c>
      <c r="B2" s="2299">
        <f>SUM(C14:C23)</f>
        <v>217068.78</v>
      </c>
      <c r="C2" s="2461"/>
      <c r="D2" s="2461"/>
      <c r="E2" s="2461"/>
      <c r="F2" s="2461"/>
      <c r="G2" s="2462"/>
      <c r="H2" s="2462"/>
      <c r="I2" s="2462"/>
      <c r="J2" s="2462"/>
      <c r="K2" s="2462"/>
    </row>
    <row r="3" spans="1:11" ht="16.5">
      <c r="A3" s="2299" t="s">
        <v>662</v>
      </c>
      <c r="B3" s="2301">
        <f>项目基本情况!D3</f>
        <v>45792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301103</v>
      </c>
      <c r="C5" s="2299">
        <f ca="1">IF(B5=D14,结果表!H102,ROUND(B5*10000/$B$1,0))</f>
        <v>11954</v>
      </c>
      <c r="D5" s="2299">
        <f ca="1">ROUND(B5*10000/$B$2,0)</f>
        <v>13871</v>
      </c>
      <c r="E5" s="2461"/>
      <c r="F5" s="2462"/>
      <c r="G5" s="2462"/>
      <c r="H5" s="2462"/>
      <c r="I5" s="2462"/>
      <c r="J5" s="2462"/>
      <c r="K5" s="2462"/>
    </row>
    <row r="6" spans="1:11" ht="16.5">
      <c r="A6" s="2299" t="s">
        <v>656</v>
      </c>
      <c r="B6" s="2299">
        <f ca="1">SUM(G14:G23)</f>
        <v>301103</v>
      </c>
      <c r="C6" s="2299">
        <f ca="1">IF(B6=G14,结果表!H108,ROUND(B6*10000/$B$1,0))</f>
        <v>11954</v>
      </c>
      <c r="D6" s="2299">
        <f ca="1">ROUND(B6*10000/$B$2,0)</f>
        <v>13871</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4"/>
      <c r="F10" s="3138" t="s">
        <v>3348</v>
      </c>
      <c r="G10" s="3135"/>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251875.15999999997</v>
      </c>
      <c r="C14" s="2305">
        <f>'数据-汇总表'!D3</f>
        <v>217068.78</v>
      </c>
      <c r="D14" s="2305">
        <f ca="1">结果表!G19</f>
        <v>301103</v>
      </c>
      <c r="E14" s="2305">
        <f ca="1">ROUND(D14*10000/B14,0)</f>
        <v>11954</v>
      </c>
      <c r="F14" s="2305">
        <f ca="1">ROUND(D14*10000/C14,0)</f>
        <v>13871</v>
      </c>
      <c r="G14" s="2305">
        <f ca="1">D14</f>
        <v>301103</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3" zoomScale="85" zoomScaleNormal="100" zoomScaleSheetLayoutView="85" zoomScalePageLayoutView="80" workbookViewId="0">
      <selection activeCell="H24" sqref="H2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1261</v>
      </c>
      <c r="B1" s="646"/>
      <c r="C1" s="1619"/>
      <c r="D1" s="646"/>
      <c r="E1" s="646"/>
      <c r="F1" s="1620" t="s">
        <v>1262</v>
      </c>
      <c r="G1" s="1452"/>
      <c r="H1" s="1620" t="str">
        <f>IF(G1="现房","——","估价对象范围")</f>
        <v>估价对象范围</v>
      </c>
      <c r="I1" s="1621"/>
    </row>
    <row r="2" spans="1:12" ht="21.75" customHeight="1" thickBot="1">
      <c r="A2" s="3376" t="str">
        <f>项目基本情况!S2</f>
        <v>房地产</v>
      </c>
      <c r="B2" s="3377"/>
      <c r="C2" s="3377"/>
      <c r="D2" s="3377"/>
      <c r="E2" s="3377"/>
      <c r="F2" s="3377"/>
      <c r="G2" s="3377"/>
      <c r="H2" s="3377"/>
      <c r="I2" s="3378"/>
    </row>
    <row r="3" spans="1:12" ht="12.75">
      <c r="A3" s="3380" t="s">
        <v>1263</v>
      </c>
      <c r="B3" s="3381"/>
      <c r="C3" s="3381"/>
      <c r="D3" s="3381"/>
      <c r="E3" s="3381"/>
      <c r="F3" s="3381"/>
      <c r="G3" s="3381"/>
      <c r="H3" s="3381"/>
      <c r="I3" s="3381"/>
    </row>
    <row r="4" spans="1:12" ht="14.25">
      <c r="A4" s="1623" t="s">
        <v>1264</v>
      </c>
      <c r="B4" s="1624" t="s">
        <v>1265</v>
      </c>
      <c r="C4" s="1625" t="s">
        <v>3415</v>
      </c>
      <c r="D4" s="1625" t="s">
        <v>3410</v>
      </c>
      <c r="E4" s="3382" t="s">
        <v>1266</v>
      </c>
      <c r="F4" s="3383"/>
      <c r="G4" s="3383"/>
      <c r="H4" s="3383"/>
      <c r="I4" s="33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56" t="s">
        <v>1267</v>
      </c>
      <c r="B5" s="3343">
        <v>25</v>
      </c>
      <c r="C5" s="3359"/>
      <c r="D5" s="3379"/>
      <c r="E5" s="123" t="s">
        <v>1268</v>
      </c>
      <c r="F5" s="1626"/>
      <c r="G5" s="1626"/>
      <c r="H5" s="1626"/>
      <c r="I5" s="1280"/>
    </row>
    <row r="6" spans="1:12" ht="12.75">
      <c r="A6" s="3356"/>
      <c r="B6" s="3343"/>
      <c r="C6" s="3360"/>
      <c r="D6" s="3379"/>
      <c r="E6" s="123" t="s">
        <v>1269</v>
      </c>
      <c r="F6" s="1626"/>
      <c r="G6" s="1626"/>
      <c r="H6" s="1626"/>
      <c r="I6" s="1280"/>
    </row>
    <row r="7" spans="1:12" ht="12.75">
      <c r="A7" s="3356"/>
      <c r="B7" s="3343"/>
      <c r="C7" s="3361"/>
      <c r="D7" s="3379"/>
      <c r="E7" s="123" t="s">
        <v>1270</v>
      </c>
      <c r="F7" s="1626"/>
      <c r="G7" s="1626"/>
      <c r="H7" s="1626"/>
      <c r="I7" s="1280"/>
    </row>
    <row r="8" spans="1:12" ht="12.75">
      <c r="A8" s="3356" t="s">
        <v>1271</v>
      </c>
      <c r="B8" s="3343">
        <v>15</v>
      </c>
      <c r="C8" s="3359"/>
      <c r="D8" s="3379"/>
      <c r="E8" s="123" t="s">
        <v>1272</v>
      </c>
      <c r="F8" s="1626"/>
      <c r="G8" s="1626"/>
      <c r="H8" s="1626"/>
      <c r="I8" s="1280"/>
    </row>
    <row r="9" spans="1:12" ht="12.75">
      <c r="A9" s="3356"/>
      <c r="B9" s="3343"/>
      <c r="C9" s="3361"/>
      <c r="D9" s="3379"/>
      <c r="E9" s="123" t="s">
        <v>1273</v>
      </c>
      <c r="F9" s="1626"/>
      <c r="G9" s="1626"/>
      <c r="H9" s="1626"/>
      <c r="I9" s="1280"/>
    </row>
    <row r="10" spans="1:12" ht="12.75">
      <c r="A10" s="3356" t="s">
        <v>1274</v>
      </c>
      <c r="B10" s="3343">
        <v>15</v>
      </c>
      <c r="C10" s="3359"/>
      <c r="D10" s="3379"/>
      <c r="E10" s="123" t="s">
        <v>1275</v>
      </c>
      <c r="F10" s="1626"/>
      <c r="G10" s="1626"/>
      <c r="H10" s="1626"/>
      <c r="I10" s="1280"/>
    </row>
    <row r="11" spans="1:12" ht="12.75">
      <c r="A11" s="3356"/>
      <c r="B11" s="3343"/>
      <c r="C11" s="3361"/>
      <c r="D11" s="3379"/>
      <c r="E11" s="123" t="s">
        <v>1276</v>
      </c>
      <c r="F11" s="1626"/>
      <c r="G11" s="1626"/>
      <c r="H11" s="1626"/>
      <c r="I11" s="1280"/>
    </row>
    <row r="12" spans="1:12" ht="12.75">
      <c r="A12" s="3356" t="s">
        <v>1277</v>
      </c>
      <c r="B12" s="3343">
        <v>15</v>
      </c>
      <c r="C12" s="3359"/>
      <c r="D12" s="3379"/>
      <c r="E12" s="123" t="s">
        <v>1278</v>
      </c>
      <c r="F12" s="1626"/>
      <c r="G12" s="1626"/>
      <c r="H12" s="1626"/>
      <c r="I12" s="1280"/>
    </row>
    <row r="13" spans="1:12" ht="12.75">
      <c r="A13" s="3356"/>
      <c r="B13" s="3343"/>
      <c r="C13" s="3361"/>
      <c r="D13" s="3379"/>
      <c r="E13" s="123" t="s">
        <v>1279</v>
      </c>
      <c r="F13" s="1626"/>
      <c r="G13" s="1626"/>
      <c r="H13" s="1626"/>
      <c r="I13" s="1280"/>
    </row>
    <row r="14" spans="1:12" ht="12.75">
      <c r="A14" s="3356" t="s">
        <v>1280</v>
      </c>
      <c r="B14" s="3343">
        <v>30</v>
      </c>
      <c r="C14" s="3359">
        <v>4</v>
      </c>
      <c r="D14" s="3379">
        <v>6</v>
      </c>
      <c r="E14" s="123" t="s">
        <v>1281</v>
      </c>
      <c r="F14" s="1626"/>
      <c r="G14" s="1626"/>
      <c r="H14" s="1626"/>
      <c r="I14" s="1280"/>
    </row>
    <row r="15" spans="1:12" ht="12.75">
      <c r="A15" s="3356"/>
      <c r="B15" s="3343"/>
      <c r="C15" s="3360"/>
      <c r="D15" s="3379"/>
      <c r="E15" s="123" t="s">
        <v>1282</v>
      </c>
      <c r="F15" s="1626"/>
      <c r="G15" s="1626"/>
      <c r="H15" s="1626"/>
      <c r="I15" s="1280"/>
    </row>
    <row r="16" spans="1:12" ht="12.75">
      <c r="A16" s="3356"/>
      <c r="B16" s="3343"/>
      <c r="C16" s="3361"/>
      <c r="D16" s="3379"/>
      <c r="E16" s="123" t="s">
        <v>1283</v>
      </c>
      <c r="F16" s="1626"/>
      <c r="G16" s="1626"/>
      <c r="H16" s="1626"/>
      <c r="I16" s="1280"/>
    </row>
    <row r="17" spans="1:36" ht="15">
      <c r="A17" s="1627" t="s">
        <v>1284</v>
      </c>
      <c r="B17" s="54"/>
      <c r="C17" s="124">
        <f>SUM(C5:C16)</f>
        <v>4</v>
      </c>
      <c r="D17" s="124">
        <f>SUM(D5:D16)</f>
        <v>6</v>
      </c>
      <c r="E17" s="121"/>
      <c r="F17" s="121"/>
      <c r="G17" s="121"/>
      <c r="H17" s="121"/>
      <c r="I17" s="121"/>
      <c r="K17" s="294"/>
      <c r="L17" s="294" t="s">
        <v>1285</v>
      </c>
      <c r="M17" s="294" t="s">
        <v>1286</v>
      </c>
    </row>
    <row r="18" spans="1:36" ht="31.9" customHeight="1" thickBot="1">
      <c r="A18" s="1628" t="s">
        <v>1287</v>
      </c>
      <c r="B18" s="1541"/>
      <c r="C18" s="125">
        <f>ROUND(C17/SUM(C17:D17),2)</f>
        <v>0.4</v>
      </c>
      <c r="D18" s="125">
        <f>1-C18</f>
        <v>0.6</v>
      </c>
      <c r="E18" s="3366" t="s">
        <v>2130</v>
      </c>
      <c r="F18" s="3367"/>
      <c r="G18" s="3367"/>
      <c r="H18" s="3367"/>
      <c r="I18" s="3367"/>
      <c r="K18" s="294" t="s">
        <v>1288</v>
      </c>
      <c r="L18" s="294">
        <f>IF(C1="",'数据-汇总表'!E3,SUMIF(项目类型,C1,'数据-汇总表'!E17:E26)+SUMIF(项目类型,C1,'数据-汇总表'!I17:I26))</f>
        <v>251875.15999999997</v>
      </c>
      <c r="M18" s="294">
        <f>IF(C1="",'数据-汇总表'!E3,SUMIF(项目类型,C1,'数据-汇总表'!E17:E26))</f>
        <v>251875.15999999997</v>
      </c>
    </row>
    <row r="19" spans="1:36" ht="15">
      <c r="A19" s="1629" t="s">
        <v>1289</v>
      </c>
      <c r="B19" s="1630" t="s">
        <v>1290</v>
      </c>
      <c r="C19" s="126">
        <f ca="1">SUMIF(INDIRECT("'"&amp;C4&amp;"'"&amp;"!A:A"),结果表!B19,INDIRECT("'"&amp;C4&amp;"'"&amp;"!B:B"))</f>
        <v>382833</v>
      </c>
      <c r="D19" s="127">
        <f ca="1">SUMIF(INDIRECT("'"&amp;D4&amp;"'"&amp;"!A:A"),结果表!B19,INDIRECT("'"&amp;D4&amp;"'"&amp;"!B:B"))</f>
        <v>246617</v>
      </c>
      <c r="E19" s="1629" t="s">
        <v>1291</v>
      </c>
      <c r="F19" s="1630" t="s">
        <v>1290</v>
      </c>
      <c r="G19" s="128">
        <f ca="1">ROUND(C19*$C$18+D19*$D$18,0)</f>
        <v>301103</v>
      </c>
      <c r="H19" s="1631" t="s">
        <v>1292</v>
      </c>
      <c r="I19" s="121"/>
      <c r="K19" s="294" t="s">
        <v>1293</v>
      </c>
      <c r="L19" s="294">
        <f>IF(C1="",'数据-汇总表'!D3,SUMIF(项目类型,C1,'数据-汇总表'!D17:D26)+SUMIF(项目类型,C1,'数据-汇总表'!H17:H27))</f>
        <v>217068.78</v>
      </c>
      <c r="M19" s="294">
        <f>IF(C1="",'数据-汇总表'!D3,SUMIF(项目类型,C1,'数据-汇总表'!D17:D26))</f>
        <v>217068.78</v>
      </c>
    </row>
    <row r="20" spans="1:36" ht="15">
      <c r="A20" s="1632"/>
      <c r="B20" s="43" t="s">
        <v>1294</v>
      </c>
      <c r="C20" s="129">
        <f ca="1">SUMIF(INDIRECT("'"&amp;C4&amp;"'"&amp;"!A:A"),结果表!B20,INDIRECT("'"&amp;C4&amp;"'"&amp;"!B:B"))</f>
        <v>15199</v>
      </c>
      <c r="D20" s="130">
        <f ca="1">SUMIF(INDIRECT("'"&amp;D4&amp;"'"&amp;"!A:A"),结果表!B20,INDIRECT("'"&amp;D4&amp;"'"&amp;"!B:B"))</f>
        <v>9791</v>
      </c>
      <c r="E20" s="1632"/>
      <c r="F20" s="43" t="s">
        <v>1294</v>
      </c>
      <c r="G20" s="131">
        <f ca="1">ROUND(C20*$C$18+D20*$D$18,0)</f>
        <v>11954</v>
      </c>
      <c r="H20" s="760" t="s">
        <v>1295</v>
      </c>
      <c r="I20" s="121"/>
    </row>
    <row r="21" spans="1:36" ht="15" customHeight="1" thickBot="1">
      <c r="A21" s="449"/>
      <c r="B21" s="93" t="s">
        <v>1296</v>
      </c>
      <c r="C21" s="678">
        <f ca="1">ROUND(C19*10000/L19,0)</f>
        <v>17636</v>
      </c>
      <c r="D21" s="679">
        <f ca="1">ROUND(D19*10000/L19,0)</f>
        <v>11361</v>
      </c>
      <c r="E21" s="449"/>
      <c r="F21" s="93" t="s">
        <v>1296</v>
      </c>
      <c r="G21" s="132">
        <f ca="1">ROUND(G19*10000/L19,0)</f>
        <v>13871</v>
      </c>
      <c r="H21" s="1633" t="s">
        <v>1295</v>
      </c>
      <c r="I21" s="121"/>
    </row>
    <row r="22" spans="1:36" ht="15" thickBot="1">
      <c r="A22" s="1563" t="s">
        <v>1297</v>
      </c>
      <c r="B22" s="1634"/>
      <c r="C22" s="1635"/>
      <c r="D22" s="680">
        <f ca="1">IF(C19&lt;D19,D19/C19-1,C19/D19-1)</f>
        <v>0.55233824107827112</v>
      </c>
      <c r="E22" s="121"/>
      <c r="F22" s="121"/>
      <c r="G22" s="121"/>
      <c r="H22" s="121"/>
      <c r="I22" s="121"/>
    </row>
    <row r="23" spans="1:36" ht="13.5" thickBot="1">
      <c r="A23" s="646"/>
      <c r="B23" s="646"/>
      <c r="C23" s="646"/>
      <c r="D23" s="646"/>
      <c r="E23" s="121"/>
      <c r="F23" s="121"/>
      <c r="G23" s="121"/>
      <c r="H23" s="121"/>
      <c r="I23" s="121"/>
    </row>
    <row r="24" spans="1:36" ht="14.25">
      <c r="A24" s="3350" t="s">
        <v>1298</v>
      </c>
      <c r="B24" s="1630" t="s">
        <v>1290</v>
      </c>
      <c r="C24" s="128">
        <f>IF(B30=0,0,D30)</f>
        <v>0</v>
      </c>
      <c r="D24" s="1636"/>
      <c r="E24" s="121"/>
      <c r="F24" s="121"/>
      <c r="G24" s="121"/>
      <c r="H24" s="121"/>
      <c r="I24" s="121"/>
    </row>
    <row r="25" spans="1:36" ht="14.25">
      <c r="A25" s="3351"/>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11954</v>
      </c>
      <c r="D32" s="1640" t="s">
        <v>3589</v>
      </c>
      <c r="E32" s="121"/>
      <c r="F32" s="121"/>
      <c r="G32" s="121"/>
      <c r="H32" s="121"/>
      <c r="I32" s="121"/>
    </row>
    <row r="33" spans="1:15" ht="15">
      <c r="A33" s="740" t="s">
        <v>1305</v>
      </c>
      <c r="B33" s="123"/>
      <c r="C33" s="1641" t="s">
        <v>3590</v>
      </c>
      <c r="D33" s="1642" t="s">
        <v>3415</v>
      </c>
      <c r="E33" s="1643" t="s">
        <v>1306</v>
      </c>
      <c r="F33" s="1644" t="str">
        <f>IF(D32="楼面单价","取值（单价）","取值（总价）")</f>
        <v>取值（单价）</v>
      </c>
      <c r="G33" s="121"/>
      <c r="H33" s="121"/>
      <c r="I33" s="121"/>
    </row>
    <row r="34" spans="1:15" ht="15">
      <c r="A34" s="1645"/>
      <c r="B34" s="1646" t="s">
        <v>1307</v>
      </c>
      <c r="C34" s="140">
        <f ca="1">IF(C33="自定义",F34,C32-C35)</f>
        <v>4997</v>
      </c>
      <c r="D34" s="808">
        <f ca="1">IF(C33="自定义",ROUND(C34/C32,3),IF(C33="收益比率",SUMIF(INDIRECT("'"&amp;D33&amp;"'"&amp;"!b:b"),"土地收益比率",INDIRECT("'"&amp;D33&amp;"'"&amp;"!c:c")),SUMIF(INDIRECT("'"&amp;D33&amp;"'"&amp;"!b:b"),"土地成本比率",INDIRECT("'"&amp;D33&amp;"'"&amp;"!c:c"))))</f>
        <v>0.41800000000000004</v>
      </c>
      <c r="E34" s="1647" t="s">
        <v>1308</v>
      </c>
      <c r="F34" s="1242"/>
      <c r="G34" s="121"/>
      <c r="H34" s="121"/>
      <c r="I34" s="121"/>
    </row>
    <row r="35" spans="1:15" ht="15.75" thickBot="1">
      <c r="A35" s="1648"/>
      <c r="B35" s="1649" t="s">
        <v>1309</v>
      </c>
      <c r="C35" s="1090">
        <f ca="1">IF(C33="自定义",F35,ROUND(C32*D35,0))</f>
        <v>6957</v>
      </c>
      <c r="D35" s="1091">
        <f ca="1">IF(C33="自定义",ROUND(C35/C32,3),IF(C33="收益比率",SUMIF(INDIRECT("'"&amp;D33&amp;"'"&amp;"!b:b"),"建筑物收益比率",INDIRECT("'"&amp;D33&amp;"'"&amp;"!c:c")),SUMIF(INDIRECT("'"&amp;D33&amp;"'"&amp;"!b:b"),"建筑物成本比率",INDIRECT("'"&amp;D33&amp;"'"&amp;"!c:c"))))</f>
        <v>0.58199999999999996</v>
      </c>
      <c r="E35" s="1650" t="s">
        <v>1310</v>
      </c>
      <c r="F35" s="146"/>
      <c r="G35" s="121"/>
      <c r="H35" s="121"/>
      <c r="I35" s="121"/>
    </row>
    <row r="36" spans="1:15" ht="15.75" thickBot="1">
      <c r="A36" s="3370" t="s">
        <v>1311</v>
      </c>
      <c r="B36" s="1651" t="s">
        <v>1312</v>
      </c>
      <c r="C36" s="137"/>
      <c r="D36" s="1652"/>
      <c r="E36" s="1566"/>
      <c r="F36" s="1653"/>
      <c r="G36" s="121"/>
      <c r="H36" s="121"/>
      <c r="I36" s="121"/>
    </row>
    <row r="37" spans="1:15" ht="15.75" thickBot="1">
      <c r="A37" s="3371"/>
      <c r="B37" s="1554" t="s">
        <v>1313</v>
      </c>
      <c r="C37" s="139"/>
      <c r="D37" s="1071"/>
      <c r="E37" s="1071"/>
      <c r="F37" s="1653"/>
      <c r="G37" s="121"/>
      <c r="H37" s="121"/>
      <c r="I37" s="121"/>
    </row>
    <row r="38" spans="1:15" ht="15.75" thickBot="1">
      <c r="A38" s="3372"/>
      <c r="B38" s="1654" t="s">
        <v>1314</v>
      </c>
      <c r="C38" s="641"/>
      <c r="D38" s="1655" t="s">
        <v>1315</v>
      </c>
      <c r="E38" s="1071"/>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347" t="s">
        <v>1325</v>
      </c>
      <c r="B45" s="3348"/>
      <c r="C45" s="3349"/>
      <c r="D45" s="147">
        <f ca="1">ROUND(H101*F45,0)</f>
        <v>301092</v>
      </c>
      <c r="E45" s="148" t="s">
        <v>1326</v>
      </c>
      <c r="F45" s="149">
        <v>1</v>
      </c>
      <c r="G45" s="150" t="s">
        <v>1327</v>
      </c>
      <c r="H45" s="121"/>
      <c r="I45" s="121"/>
      <c r="J45" s="3425" t="s">
        <v>1328</v>
      </c>
      <c r="K45" s="3425"/>
      <c r="L45" s="3425"/>
      <c r="M45" s="3425"/>
      <c r="N45" s="3425"/>
      <c r="O45" s="3425"/>
    </row>
    <row r="46" spans="1:15" ht="14.25" customHeight="1">
      <c r="A46" s="3344" t="s">
        <v>1329</v>
      </c>
      <c r="B46" s="3345"/>
      <c r="C46" s="3345"/>
      <c r="D46" s="3345"/>
      <c r="E46" s="3345"/>
      <c r="F46" s="3345"/>
      <c r="G46" s="3346"/>
      <c r="H46" s="1667"/>
      <c r="I46" s="151"/>
      <c r="J46" s="2309">
        <v>1</v>
      </c>
      <c r="K46" s="3406" t="s">
        <v>1330</v>
      </c>
      <c r="L46" s="3406"/>
      <c r="M46" s="3426"/>
      <c r="N46" s="3426"/>
      <c r="O46" s="3426"/>
    </row>
    <row r="47" spans="1:15" ht="12" customHeight="1">
      <c r="A47" s="152" t="s">
        <v>1331</v>
      </c>
      <c r="B47" s="153"/>
      <c r="C47" s="154"/>
      <c r="D47" s="1024" t="s">
        <v>1332</v>
      </c>
      <c r="E47" s="294" t="s">
        <v>1333</v>
      </c>
      <c r="F47" s="155" t="s">
        <v>1334</v>
      </c>
      <c r="G47" s="2332" t="s">
        <v>1335</v>
      </c>
      <c r="H47" s="2333"/>
      <c r="I47" s="151"/>
      <c r="J47" s="2309">
        <v>2</v>
      </c>
      <c r="K47" s="3406" t="s">
        <v>1336</v>
      </c>
      <c r="L47" s="3406"/>
      <c r="M47" s="3427">
        <f>'数据-取费表'!B2</f>
        <v>45792</v>
      </c>
      <c r="N47" s="3427"/>
      <c r="O47" s="3427"/>
    </row>
    <row r="48" spans="1:15" ht="25.5">
      <c r="A48" s="3375" t="s">
        <v>1337</v>
      </c>
      <c r="B48" s="3358"/>
      <c r="C48" s="335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406" t="s">
        <v>1339</v>
      </c>
      <c r="L48" s="3406"/>
      <c r="M48" s="3428">
        <f ca="1">H101</f>
        <v>301092</v>
      </c>
      <c r="N48" s="3428"/>
      <c r="O48" s="3428"/>
    </row>
    <row r="49" spans="1:35" ht="25.5" customHeight="1">
      <c r="A49" s="2151" t="s">
        <v>1340</v>
      </c>
      <c r="B49" s="3342" t="s">
        <v>1341</v>
      </c>
      <c r="C49" s="3342"/>
      <c r="D49" s="1477">
        <v>0</v>
      </c>
      <c r="E49" s="316" t="s">
        <v>1342</v>
      </c>
      <c r="F49" s="2232" t="s">
        <v>28</v>
      </c>
      <c r="G49" s="3412"/>
      <c r="H49" s="2133" t="s">
        <v>2133</v>
      </c>
      <c r="I49" s="2134"/>
      <c r="J49" s="2309">
        <v>4</v>
      </c>
      <c r="K49" s="3406" t="str">
        <f>IF(项目基本情况!E8="房地产抵押价值","房地产抵押价值","抵押担保权已注销时的房地产抵押价值")</f>
        <v>房地产抵押价值</v>
      </c>
      <c r="L49" s="3406"/>
      <c r="M49" s="3428">
        <f ca="1">IF(项目基本情况!E8="房地产抵押价值",H107,H109)</f>
        <v>301092</v>
      </c>
      <c r="N49" s="3428"/>
      <c r="O49" s="3428"/>
    </row>
    <row r="50" spans="1:35" ht="25.5" customHeight="1">
      <c r="A50" s="2337"/>
      <c r="B50" s="3342" t="s">
        <v>1343</v>
      </c>
      <c r="C50" s="3342"/>
      <c r="D50" s="2188"/>
      <c r="E50" s="323"/>
      <c r="F50" s="2232"/>
      <c r="G50" s="3413"/>
      <c r="H50" s="2135" t="s">
        <v>2134</v>
      </c>
      <c r="I50" s="2134"/>
      <c r="J50" s="3425" t="s">
        <v>1344</v>
      </c>
      <c r="K50" s="3425"/>
      <c r="L50" s="3425"/>
      <c r="M50" s="3425"/>
      <c r="N50" s="3425"/>
      <c r="O50" s="3425"/>
    </row>
    <row r="51" spans="1:35" ht="20.45" customHeight="1">
      <c r="A51" s="2338"/>
      <c r="B51" s="3342" t="s">
        <v>1345</v>
      </c>
      <c r="C51" s="3342"/>
      <c r="D51" s="1024"/>
      <c r="E51" s="319"/>
      <c r="F51" s="2232"/>
      <c r="G51" s="3414"/>
      <c r="H51" s="2135" t="s">
        <v>2135</v>
      </c>
      <c r="I51" s="2134"/>
      <c r="J51" s="2310" t="s">
        <v>1346</v>
      </c>
      <c r="K51" s="3406" t="s">
        <v>1347</v>
      </c>
      <c r="L51" s="3406"/>
      <c r="M51" s="2310" t="s">
        <v>1348</v>
      </c>
      <c r="N51" s="2310" t="s">
        <v>1349</v>
      </c>
      <c r="O51" s="2310" t="s">
        <v>1350</v>
      </c>
    </row>
    <row r="52" spans="1:35" ht="24" customHeight="1">
      <c r="A52" s="2152" t="s">
        <v>1351</v>
      </c>
      <c r="B52" s="3342" t="s">
        <v>1352</v>
      </c>
      <c r="C52" s="3342"/>
      <c r="D52" s="1024">
        <f ca="1">ROUND(D45*'数据-取费表'!B41/(1+'数据-取费表'!C42),0)</f>
        <v>16058</v>
      </c>
      <c r="E52" s="1255" t="s">
        <v>1353</v>
      </c>
      <c r="F52" s="2339">
        <f>'数据-取费表'!B41</f>
        <v>5.6000000000000001E-2</v>
      </c>
      <c r="G52" s="2340"/>
      <c r="H52" s="2330"/>
      <c r="I52" s="1668"/>
      <c r="J52" s="2309">
        <v>1</v>
      </c>
      <c r="K52" s="3407" t="s">
        <v>1354</v>
      </c>
      <c r="L52" s="3407"/>
      <c r="M52" s="2311" t="b">
        <f>D48</f>
        <v>0</v>
      </c>
      <c r="N52" s="2309" t="str">
        <f>E48</f>
        <v>销售额×税（费）率</v>
      </c>
      <c r="O52" s="2312">
        <f>F48</f>
        <v>5.6000000000000001E-2</v>
      </c>
    </row>
    <row r="53" spans="1:35" ht="12" customHeight="1">
      <c r="A53" s="2152" t="s">
        <v>1355</v>
      </c>
      <c r="B53" s="3368" t="s">
        <v>2281</v>
      </c>
      <c r="C53" s="3369"/>
      <c r="D53" s="1024">
        <f ca="1">ROUND(D45*'数据-取费表'!B41/(1+'数据-取费表'!C42),0)</f>
        <v>16058</v>
      </c>
      <c r="E53" s="1255" t="s">
        <v>1353</v>
      </c>
      <c r="F53" s="2339">
        <f>'数据-取费表'!B41</f>
        <v>5.6000000000000001E-2</v>
      </c>
      <c r="G53" s="2340"/>
      <c r="H53" s="2330"/>
      <c r="I53" s="1668"/>
      <c r="J53" s="2309">
        <v>2</v>
      </c>
      <c r="K53" s="3407" t="s">
        <v>1356</v>
      </c>
      <c r="L53" s="3407"/>
      <c r="M53" s="2311">
        <f t="shared" ref="M53:O54" ca="1" si="0">D55</f>
        <v>151</v>
      </c>
      <c r="N53" s="2309" t="str">
        <f t="shared" si="0"/>
        <v>销售额×税（费）率</v>
      </c>
      <c r="O53" s="2312" t="str">
        <f t="shared" si="0"/>
        <v>免征</v>
      </c>
    </row>
    <row r="54" spans="1:35" ht="12" customHeight="1">
      <c r="A54" s="2152" t="s">
        <v>1357</v>
      </c>
      <c r="B54" s="3368" t="s">
        <v>2282</v>
      </c>
      <c r="C54" s="3369"/>
      <c r="D54" s="1024">
        <f ca="1">C68</f>
        <v>16058</v>
      </c>
      <c r="E54" s="319" t="s">
        <v>1358</v>
      </c>
      <c r="F54" s="2339">
        <f>'数据-取费表'!B41</f>
        <v>5.6000000000000001E-2</v>
      </c>
      <c r="G54" s="2340"/>
      <c r="H54" s="2341"/>
      <c r="I54" s="1668"/>
      <c r="J54" s="2309">
        <v>3</v>
      </c>
      <c r="K54" s="3407" t="s">
        <v>1359</v>
      </c>
      <c r="L54" s="3407"/>
      <c r="M54" s="2311">
        <f t="shared" ca="1" si="0"/>
        <v>170417</v>
      </c>
      <c r="N54" s="2309" t="str">
        <f t="shared" si="0"/>
        <v>增值额×税（费）率</v>
      </c>
      <c r="O54" s="2313" t="str">
        <f t="shared" si="0"/>
        <v>免征</v>
      </c>
    </row>
    <row r="55" spans="1:35" ht="24" customHeight="1">
      <c r="A55" s="3357" t="s">
        <v>1360</v>
      </c>
      <c r="B55" s="3358"/>
      <c r="C55" s="3358"/>
      <c r="D55" s="12">
        <f ca="1">IF(H55="个人住宅",0,ROUND(D45*I55,0))</f>
        <v>151</v>
      </c>
      <c r="E55" s="1255" t="s">
        <v>1361</v>
      </c>
      <c r="F55" s="2339" t="str">
        <f>IF(H55="正常",I55,"免征")</f>
        <v>免征</v>
      </c>
      <c r="G55" s="2340"/>
      <c r="H55" s="2336"/>
      <c r="I55" s="157">
        <f>'数据-取费表'!B49</f>
        <v>5.0000000000000001E-4</v>
      </c>
      <c r="J55" s="2309">
        <f>IF(H59="非个人房产","",4)</f>
        <v>4</v>
      </c>
      <c r="K55" s="3407" t="str">
        <f>IF(H59="非个人房产","——","个人所得税")</f>
        <v>个人所得税</v>
      </c>
      <c r="L55" s="3407"/>
      <c r="M55" s="2314">
        <f ca="1">D59</f>
        <v>2868</v>
      </c>
      <c r="N55" s="1882" t="str">
        <f>E59</f>
        <v>差额计税</v>
      </c>
      <c r="O55" s="2315">
        <f>F59</f>
        <v>0.01</v>
      </c>
    </row>
    <row r="56" spans="1:35" ht="24.75">
      <c r="A56" s="3357" t="s">
        <v>1362</v>
      </c>
      <c r="B56" s="3358"/>
      <c r="C56" s="3358"/>
      <c r="D56" s="12">
        <f ca="1">IF(H56="个人住宅",D57,D58)</f>
        <v>170417</v>
      </c>
      <c r="E56" s="1255" t="s">
        <v>1363</v>
      </c>
      <c r="F56" s="2339" t="str">
        <f>IF(H56="正常",F58,"免征")</f>
        <v>免征</v>
      </c>
      <c r="G56" s="2342" t="s">
        <v>1364</v>
      </c>
      <c r="H56" s="2343"/>
      <c r="I56" s="1669"/>
      <c r="J56" s="2309" t="str">
        <f>IF(项目基本情况!K6="上海银行",IF(J55="",4,J55+1),"")</f>
        <v/>
      </c>
      <c r="K56" s="3430" t="str">
        <f>IF(项目基本情况!K6="上海银行","其他处置费用","")</f>
        <v/>
      </c>
      <c r="L56" s="3431"/>
      <c r="M56" s="2311" t="str">
        <f>IF(项目基本情况!K6="上海银行",M69,"")</f>
        <v/>
      </c>
      <c r="N56" s="3430" t="str">
        <f>IF(项目基本情况!K6="上海银行","包含处置中涉及的律师、诉讼、拍卖、评估等费用","")</f>
        <v/>
      </c>
      <c r="O56" s="3433"/>
    </row>
    <row r="57" spans="1:35" ht="12.75">
      <c r="A57" s="2152" t="s">
        <v>1340</v>
      </c>
      <c r="B57" s="3368" t="s">
        <v>1365</v>
      </c>
      <c r="C57" s="3369"/>
      <c r="D57" s="1477">
        <v>0</v>
      </c>
      <c r="E57" s="316" t="s">
        <v>1342</v>
      </c>
      <c r="F57" s="294"/>
      <c r="G57" s="2340"/>
      <c r="H57" s="2344"/>
      <c r="I57" s="1669"/>
      <c r="J57" s="3407">
        <f>IF(AND(J55="",J56=""),4,IF(项目基本情况!K6="上海银行",结果表!J56+1,结果表!J55+1))</f>
        <v>5</v>
      </c>
      <c r="K57" s="3407" t="s">
        <v>1366</v>
      </c>
      <c r="L57" s="2316" t="s">
        <v>1367</v>
      </c>
      <c r="M57" s="2317"/>
      <c r="N57" s="2318">
        <f ca="1">SUMIF(M52:M56,"&lt;9e307")</f>
        <v>173436</v>
      </c>
      <c r="O57" s="2319"/>
      <c r="P57" s="2464">
        <f ca="1">N57/M49</f>
        <v>0.57602327527798813</v>
      </c>
    </row>
    <row r="58" spans="1:35" ht="24.75">
      <c r="A58" s="2152" t="s">
        <v>1351</v>
      </c>
      <c r="B58" s="3368" t="s">
        <v>1368</v>
      </c>
      <c r="C58" s="3342"/>
      <c r="D58" s="12">
        <f ca="1">IF(H58="转让取得",C81,C97)</f>
        <v>170417</v>
      </c>
      <c r="E58" s="1255" t="s">
        <v>1363</v>
      </c>
      <c r="F58" s="294" t="s">
        <v>28</v>
      </c>
      <c r="G58" s="2340"/>
      <c r="H58" s="2343"/>
      <c r="I58" s="1669"/>
      <c r="J58" s="3407"/>
      <c r="K58" s="3407"/>
      <c r="L58" s="2316" t="s">
        <v>1369</v>
      </c>
      <c r="M58" s="2320"/>
      <c r="N58" s="2321" t="str">
        <f ca="1">NUMBERSTRING(INT(N57*10000),2)&amp;"元整"</f>
        <v>壹拾柒亿叁仟肆佰叁拾陆万元整</v>
      </c>
      <c r="O58" s="2322"/>
    </row>
    <row r="59" spans="1:35" ht="24.75" thickBot="1">
      <c r="A59" s="3410" t="s">
        <v>1370</v>
      </c>
      <c r="B59" s="3411"/>
      <c r="C59" s="3411"/>
      <c r="D59" s="2345">
        <f ca="1">IF(H59="非个人房产","——",IF(H59="个人住宅（满五唯一有凭证）",0,IF(H59="个人其他（无凭证）",ROUND(D45*F59,0),ROUND(C67*F59,0))))</f>
        <v>2868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408">
        <f>J57+1</f>
        <v>6</v>
      </c>
      <c r="K59" s="3407" t="s">
        <v>1371</v>
      </c>
      <c r="L59" s="2309" t="s">
        <v>1367</v>
      </c>
      <c r="M59" s="2323"/>
      <c r="N59" s="2324">
        <f ca="1">M49-N57</f>
        <v>127656</v>
      </c>
      <c r="O59" s="2325"/>
    </row>
    <row r="60" spans="1:35" ht="12" customHeight="1">
      <c r="A60" s="1670"/>
      <c r="B60" s="646"/>
      <c r="C60" s="646"/>
      <c r="D60" s="646"/>
      <c r="E60" s="1465"/>
      <c r="F60" s="1669"/>
      <c r="G60" s="1669"/>
      <c r="H60" s="151"/>
      <c r="I60" s="121"/>
      <c r="J60" s="3409"/>
      <c r="K60" s="3407"/>
      <c r="L60" s="2316" t="s">
        <v>1369</v>
      </c>
      <c r="M60" s="2320"/>
      <c r="N60" s="2321" t="str">
        <f ca="1">NUMBERSTRING(INT(N59*10000),2)&amp;"元整"</f>
        <v>壹拾贰亿柒仟陆佰伍拾陆万元整</v>
      </c>
      <c r="O60" s="2322"/>
    </row>
    <row r="61" spans="1:35" ht="13.5" thickBot="1">
      <c r="A61" s="3355" t="s">
        <v>1372</v>
      </c>
      <c r="B61" s="3355"/>
      <c r="C61" s="3355"/>
      <c r="D61" s="3355"/>
      <c r="E61" s="3355"/>
      <c r="F61" s="1669"/>
      <c r="G61" s="1669"/>
      <c r="H61" s="151"/>
      <c r="I61" s="121"/>
      <c r="J61" s="2309">
        <f>J59+1</f>
        <v>7</v>
      </c>
      <c r="K61" s="3407" t="s">
        <v>1373</v>
      </c>
      <c r="L61" s="3407"/>
      <c r="M61" s="2326"/>
      <c r="N61" s="2327">
        <f ca="1">ROUND(N59*10000/'数据-汇总表'!E3,0)</f>
        <v>5068</v>
      </c>
      <c r="O61" s="2328"/>
    </row>
    <row r="62" spans="1:35" ht="12.75">
      <c r="A62" s="3373" t="s">
        <v>1374</v>
      </c>
      <c r="B62" s="3374"/>
      <c r="C62" s="1864"/>
      <c r="D62" s="1864" t="s">
        <v>1375</v>
      </c>
      <c r="E62" s="158" t="s">
        <v>1376</v>
      </c>
      <c r="F62" s="1669"/>
      <c r="G62" s="1669"/>
      <c r="H62" s="151"/>
      <c r="I62" s="121"/>
    </row>
    <row r="63" spans="1:35" ht="12.75">
      <c r="A63" s="165" t="s">
        <v>330</v>
      </c>
      <c r="B63" s="159" t="s">
        <v>1377</v>
      </c>
      <c r="C63" s="2349">
        <f ca="1">ROUND((C64+C65)/(1+'数据-取费表'!C42),0)</f>
        <v>286754</v>
      </c>
      <c r="D63" s="159"/>
      <c r="E63" s="160"/>
      <c r="F63" s="1669"/>
      <c r="G63" s="1669"/>
      <c r="H63" s="151"/>
      <c r="I63" s="121"/>
      <c r="J63" s="3432" t="s">
        <v>1378</v>
      </c>
      <c r="K63" s="1244" t="s">
        <v>1379</v>
      </c>
      <c r="L63" s="1244">
        <f ca="1">IF(M49&gt;10000,M49*0.5%,IF(AND(M49&gt;1000,M49&lt;=10000),M49*1%,IF(AND(M49&gt;100,M49&lt;=1000),M49*3%,IF(AND(M49&gt;10,M49&lt;=100),M49*5%,M49*8%))))</f>
        <v>1505.46</v>
      </c>
      <c r="M63" s="294">
        <f ca="1">ROUND(L63,1)</f>
        <v>1505.5</v>
      </c>
      <c r="N63" s="2329"/>
      <c r="Z63" s="1622"/>
      <c r="AI63" s="1560"/>
    </row>
    <row r="64" spans="1:35" ht="14.25" customHeight="1">
      <c r="A64" s="161" t="s">
        <v>325</v>
      </c>
      <c r="B64" s="162" t="s">
        <v>1380</v>
      </c>
      <c r="C64" s="2350">
        <f ca="1">D45</f>
        <v>301092</v>
      </c>
      <c r="D64" s="162" t="s">
        <v>26</v>
      </c>
      <c r="E64" s="164"/>
      <c r="F64" s="1669"/>
      <c r="G64" s="1669"/>
      <c r="H64" s="151"/>
      <c r="I64" s="121"/>
      <c r="J64" s="3432"/>
      <c r="K64" s="1244" t="s">
        <v>1381</v>
      </c>
      <c r="L64" s="1244">
        <f ca="1">IF(M49&gt;2000,M49*0.5%,IF(AND(M49&gt;1000,M49&lt;=2000),M49*0.6%,IF(AND(M49&gt;500,M49&lt;=1000),M49*0.7%,IF(AND(M49&gt;200,M49&lt;=500),M49*0.8%,IF(AND(M49&gt;100,M49&lt;=200),M49*0.9%,IF(AND(M49&gt;50,M49&lt;=100),M49*1%,IF(AND(M49&gt;20,M49&lt;=50),M49*1.5%,IF(AND(M49&gt;10,M49&lt;=20),M49*2%,IF(AND(M49&gt;1,M49&lt;=10),M49*2.5%)))))))))</f>
        <v>1505.46</v>
      </c>
      <c r="M64" s="294">
        <f t="shared" ref="M64:M65" ca="1" si="1">ROUND(L64,1)</f>
        <v>1505.5</v>
      </c>
      <c r="N64" s="2330" t="s">
        <v>1382</v>
      </c>
      <c r="Z64" s="1622"/>
      <c r="AI64" s="1560"/>
    </row>
    <row r="65" spans="1:35" ht="14.25" customHeight="1">
      <c r="A65" s="161" t="s">
        <v>326</v>
      </c>
      <c r="B65" s="162" t="s">
        <v>1383</v>
      </c>
      <c r="C65" s="2351"/>
      <c r="D65" s="162"/>
      <c r="E65" s="164"/>
      <c r="F65" s="1669"/>
      <c r="G65" s="1669"/>
      <c r="H65" s="151"/>
      <c r="I65" s="121"/>
      <c r="J65" s="3432"/>
      <c r="K65" s="1244" t="s">
        <v>1384</v>
      </c>
      <c r="L65" s="1244">
        <f ca="1">IF(M49&gt;1000,M49*0.1%,IF(AND(M49&gt;500,M49&lt;=1000),M49*0.5%,IF(AND(M49&gt;50,M49&lt;=500),M49*1%,IF(AND(M49&gt;1,M49&lt;=50),M49*1.5%))))</f>
        <v>301.09199999999998</v>
      </c>
      <c r="M65" s="294">
        <f t="shared" ca="1" si="1"/>
        <v>301.10000000000002</v>
      </c>
      <c r="N65" s="2330" t="s">
        <v>1382</v>
      </c>
      <c r="Z65" s="1622"/>
      <c r="AI65" s="1560"/>
    </row>
    <row r="66" spans="1:35" ht="14.25" customHeight="1">
      <c r="A66" s="165" t="s">
        <v>327</v>
      </c>
      <c r="B66" s="166" t="s">
        <v>1385</v>
      </c>
      <c r="C66" s="2352"/>
      <c r="D66" s="166" t="s">
        <v>26</v>
      </c>
      <c r="E66" s="1250" t="s">
        <v>671</v>
      </c>
      <c r="F66" s="1669"/>
      <c r="G66" s="1669"/>
      <c r="H66" s="151"/>
      <c r="I66" s="121"/>
      <c r="J66" s="3432"/>
      <c r="K66" s="1244" t="s">
        <v>1386</v>
      </c>
      <c r="L66" s="1244">
        <f ca="1">M49*0.5%</f>
        <v>1505.46</v>
      </c>
      <c r="M66" s="294">
        <f ca="1">IF(L66&gt;0.5,0.5,ROUND(L66,0))</f>
        <v>0.5</v>
      </c>
      <c r="N66" s="2330" t="s">
        <v>1387</v>
      </c>
      <c r="Z66" s="1622"/>
      <c r="AI66" s="1560"/>
    </row>
    <row r="67" spans="1:35" ht="14.25" customHeight="1">
      <c r="A67" s="165" t="s">
        <v>328</v>
      </c>
      <c r="B67" s="166" t="s">
        <v>1388</v>
      </c>
      <c r="C67" s="2353">
        <f ca="1">C63-C66</f>
        <v>286754</v>
      </c>
      <c r="D67" s="162" t="s">
        <v>26</v>
      </c>
      <c r="E67" s="164"/>
      <c r="F67" s="1669"/>
      <c r="G67" s="1669"/>
      <c r="H67" s="151"/>
      <c r="I67" s="121"/>
      <c r="J67" s="3432"/>
      <c r="K67" s="1244" t="s">
        <v>1389</v>
      </c>
      <c r="L67" s="1244">
        <f ca="1">IF(M49&gt;=10000,(8.25+(M49-10000)*0.01%),IF(AND(M49&gt;=8000,M49&lt;10000),(7.85+(M49-8000)*0.02%),IF(AND(M49&gt;=5000,M49&lt;8000),(6.65+(M49-5000)*0.04%),IF(AND(M49&gt;=2000,M49&lt;5000),(4.25+(PM49-2000)*0.08%),IF(AND(M49&gt;=1000,M49&lt;2000),(2.75+(M49-1000)*0.15%),IF(AND(M49&gt;=100,M49&lt;1000),(0.5+(M49-100)*0.25%),IF(AND(M49&gt;0,M49&lt;100),M49*0.5%)))))))</f>
        <v>37.359200000000001</v>
      </c>
      <c r="M67" s="294">
        <f ca="1">ROUND(L67*0.9,1)</f>
        <v>33.6</v>
      </c>
      <c r="N67" s="2329"/>
      <c r="Z67" s="1622"/>
      <c r="AI67" s="1560"/>
    </row>
    <row r="68" spans="1:35" ht="14.25" customHeight="1" thickBot="1">
      <c r="A68" s="168" t="s">
        <v>329</v>
      </c>
      <c r="B68" s="169" t="s">
        <v>1390</v>
      </c>
      <c r="C68" s="2354">
        <f ca="1">IF(C67&lt;=0,0,ROUND(C67*D68,0))</f>
        <v>16058</v>
      </c>
      <c r="D68" s="2355">
        <f>'数据-取费表'!B41</f>
        <v>5.6000000000000001E-2</v>
      </c>
      <c r="E68" s="170"/>
      <c r="F68" s="1669"/>
      <c r="G68" s="1669"/>
      <c r="H68" s="151"/>
      <c r="I68" s="121"/>
      <c r="J68" s="3432"/>
      <c r="K68" s="1244" t="s">
        <v>1391</v>
      </c>
      <c r="L68" s="1244">
        <f ca="1">IF(M49&gt;10000,M49*0.5%,IF(AND(M49&gt;5000,M49&lt;=10000),M49*1%,IF(AND(M49&gt;1000,M49&lt;=5000),M49*2%,IF(AND(M49&gt;200,M49&lt;=1000),M49*3%,M49*5%))))</f>
        <v>1505.46</v>
      </c>
      <c r="M68" s="294">
        <f ca="1">ROUND(L68,1)</f>
        <v>1505.5</v>
      </c>
      <c r="N68" s="2329"/>
      <c r="Z68" s="1622"/>
      <c r="AI68" s="1560"/>
    </row>
    <row r="69" spans="1:35" ht="16.5" customHeight="1">
      <c r="A69" s="1671"/>
      <c r="B69" s="1672"/>
      <c r="C69" s="1673"/>
      <c r="D69" s="1674"/>
      <c r="E69" s="1675"/>
      <c r="F69" s="1465"/>
      <c r="G69" s="1465"/>
      <c r="H69" s="1466"/>
      <c r="I69" s="646"/>
      <c r="J69" s="3432"/>
      <c r="K69" s="1244" t="s">
        <v>1392</v>
      </c>
      <c r="L69" s="1244"/>
      <c r="M69" s="294">
        <f ca="1">ROUND(SUM(M63:M68),0)</f>
        <v>4852</v>
      </c>
      <c r="N69" s="2331">
        <f ca="1">M69/M49</f>
        <v>1.6114675913009979E-2</v>
      </c>
      <c r="Z69" s="1622"/>
      <c r="AI69" s="1560"/>
    </row>
    <row r="70" spans="1:35" s="642" customFormat="1" ht="15" thickBot="1">
      <c r="A70" s="3394" t="s">
        <v>1393</v>
      </c>
      <c r="B70" s="3395"/>
      <c r="C70" s="3395"/>
      <c r="D70" s="3395"/>
      <c r="E70" s="3395"/>
      <c r="F70" s="3395"/>
      <c r="G70" s="3395"/>
      <c r="H70" s="339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73" t="s">
        <v>1374</v>
      </c>
      <c r="B71" s="3374"/>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1394</v>
      </c>
      <c r="C72" s="2353">
        <f ca="1">ROUND(D45/(1+'数据-取费表'!C42),0)</f>
        <v>286754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1395</v>
      </c>
      <c r="C73" s="2353">
        <f ca="1">C74+C78</f>
        <v>1721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1400</v>
      </c>
      <c r="C76" s="162">
        <f>IF(F75="购房发票",ROUND(C75*H75*D76,0),0)</f>
        <v>0</v>
      </c>
      <c r="D76" s="2359">
        <v>0.05</v>
      </c>
      <c r="E76" s="3368" t="s">
        <v>1401</v>
      </c>
      <c r="F76" s="3342"/>
      <c r="G76" s="3342"/>
      <c r="H76" s="339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1404</v>
      </c>
      <c r="C78" s="2361">
        <f ca="1">ROUND(D45*D78/(1+'数据-取费表'!C42),0)</f>
        <v>1721</v>
      </c>
      <c r="D78" s="2362">
        <f>'数据-取费表'!B43</f>
        <v>6.000000000000001E-3</v>
      </c>
      <c r="E78" s="3352" t="s">
        <v>1405</v>
      </c>
      <c r="F78" s="3353"/>
      <c r="G78" s="3353"/>
      <c r="H78" s="336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1406</v>
      </c>
      <c r="C79" s="2353">
        <f ca="1">C72-C73</f>
        <v>285033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1407</v>
      </c>
      <c r="C80" s="2363">
        <f ca="1">IF(C79&lt;=0,0,C79/C73)</f>
        <v>165.62056943637421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1408</v>
      </c>
      <c r="C81" s="2364">
        <f ca="1">ROUND(IF(C79&lt;=0,0,IF(C80&gt;=200%,C79*60%-C73*35%,IF(C80&gt;=100%,C79*50%-C73*15%,IF(C80&gt;=50%,C79*40%-C73*5%,IF(C80&lt;50%,C79*30%,0))))),0)</f>
        <v>170417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94" t="s">
        <v>1409</v>
      </c>
      <c r="B83" s="3395"/>
      <c r="C83" s="3395"/>
      <c r="D83" s="3395"/>
      <c r="E83" s="3395"/>
      <c r="F83" s="3395"/>
      <c r="G83" s="3395"/>
      <c r="H83" s="339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73" t="s">
        <v>1374</v>
      </c>
      <c r="B84" s="3374"/>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1394</v>
      </c>
      <c r="C85" s="2353">
        <f ca="1">ROUND(D45/(1+'数据-取费表'!C42),0)</f>
        <v>286754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1395</v>
      </c>
      <c r="C86" s="2353">
        <f ca="1">IF(H88="仅含出让金",C87+C90+C91+C92+C93+C94,C87+C91+C92+C93+C94)</f>
        <v>1721</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1411</v>
      </c>
      <c r="C88" s="2367"/>
      <c r="D88" s="2362"/>
      <c r="E88" s="185" t="s">
        <v>1412</v>
      </c>
      <c r="F88" s="2147"/>
      <c r="G88" s="186" t="s">
        <v>1413</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1415</v>
      </c>
      <c r="C90" s="2367"/>
      <c r="D90" s="2362"/>
      <c r="E90" s="185" t="str">
        <f>IF(H88="-","土地取得成本中已包含该笔费用"," ")</f>
        <v xml:space="preserve"> </v>
      </c>
      <c r="F90" s="2147"/>
      <c r="G90" s="3434" t="s">
        <v>2128</v>
      </c>
      <c r="H90" s="3435"/>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1416</v>
      </c>
      <c r="B91" s="162" t="s">
        <v>1417</v>
      </c>
      <c r="C91" s="2361">
        <f>IF(H91="——",成本法!C33,I91)</f>
        <v>0</v>
      </c>
      <c r="D91" s="2362"/>
      <c r="E91" s="3352" t="s">
        <v>1418</v>
      </c>
      <c r="F91" s="3353"/>
      <c r="G91" s="335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1419</v>
      </c>
      <c r="B92" s="162" t="s">
        <v>1420</v>
      </c>
      <c r="C92" s="2361">
        <f>ROUND((C87+C90+C91)*D92,0)</f>
        <v>0</v>
      </c>
      <c r="D92" s="2368"/>
      <c r="E92" s="3352" t="s">
        <v>1421</v>
      </c>
      <c r="F92" s="3353"/>
      <c r="G92" s="3353"/>
      <c r="H92" s="3362"/>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1422</v>
      </c>
      <c r="B93" s="162" t="s">
        <v>1404</v>
      </c>
      <c r="C93" s="2361">
        <f ca="1">ROUND(D45*D93/(1+'数据-取费表'!C42),0)</f>
        <v>1721</v>
      </c>
      <c r="D93" s="2362">
        <f>'数据-取费表'!B43</f>
        <v>6.000000000000001E-3</v>
      </c>
      <c r="E93" s="3352" t="s">
        <v>1405</v>
      </c>
      <c r="F93" s="3353"/>
      <c r="G93" s="3353"/>
      <c r="H93" s="336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1423</v>
      </c>
      <c r="B94" s="162" t="s">
        <v>1424</v>
      </c>
      <c r="C94" s="2367">
        <f>ROUND((C87+C90+C91)*D94,0)</f>
        <v>0</v>
      </c>
      <c r="D94" s="2362">
        <v>0.2</v>
      </c>
      <c r="E94" s="3363" t="s">
        <v>1425</v>
      </c>
      <c r="F94" s="3364"/>
      <c r="G94" s="3364"/>
      <c r="H94" s="336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1406</v>
      </c>
      <c r="C95" s="2353">
        <f ca="1">ROUND(C85-C86,0)</f>
        <v>285033</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1407</v>
      </c>
      <c r="C96" s="2363">
        <f ca="1">IF(C95&lt;=0,0,C95/C86)</f>
        <v>165.62056943637421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1408</v>
      </c>
      <c r="C97" s="2364">
        <f ca="1">ROUND(IF(C95&lt;=0,0,IF(C96&gt;=200%,C95*60%-C86*35%,IF(C96&gt;=100%,C95*50%-C86*15%,IF(C96&gt;=50%,C95*40%-C86*5%,IF(C96&lt;50%,C95*30%,0))))),0)</f>
        <v>170417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1426</v>
      </c>
      <c r="B99" s="646"/>
      <c r="C99" s="646"/>
      <c r="D99" s="646"/>
      <c r="E99" s="1465"/>
      <c r="F99" s="1465"/>
      <c r="G99" s="1465"/>
      <c r="H99" s="1466"/>
      <c r="I99" s="121"/>
    </row>
    <row r="100" spans="1:35" ht="18.75" customHeight="1">
      <c r="A100" s="3330" t="s">
        <v>1427</v>
      </c>
      <c r="B100" s="3331"/>
      <c r="C100" s="3331"/>
      <c r="D100" s="3354"/>
      <c r="E100" s="3331" t="s">
        <v>1428</v>
      </c>
      <c r="F100" s="3331"/>
      <c r="G100" s="3331"/>
      <c r="H100" s="3354"/>
      <c r="I100" s="121"/>
    </row>
    <row r="101" spans="1:35" ht="18.75" customHeight="1">
      <c r="A101" s="3415" t="s">
        <v>1429</v>
      </c>
      <c r="B101" s="3416"/>
      <c r="C101" s="2370" t="str">
        <f>C4</f>
        <v>成本法</v>
      </c>
      <c r="D101" s="2371" t="str">
        <f>D4</f>
        <v>收益法</v>
      </c>
      <c r="E101" s="3429" t="s">
        <v>1430</v>
      </c>
      <c r="F101" s="3386"/>
      <c r="G101" s="1686" t="s">
        <v>1431</v>
      </c>
      <c r="H101" s="2380">
        <f ca="1">H118</f>
        <v>301092</v>
      </c>
      <c r="I101" s="121"/>
    </row>
    <row r="102" spans="1:35" ht="18.75" customHeight="1">
      <c r="A102" s="3388" t="s">
        <v>1432</v>
      </c>
      <c r="B102" s="2369" t="s">
        <v>1431</v>
      </c>
      <c r="C102" s="2370">
        <f ca="1">IF(D32="楼面单价",ROUND(C19,0),C19)</f>
        <v>382833</v>
      </c>
      <c r="D102" s="2371">
        <f ca="1">IF(D32="楼面单价",ROUND(D19,0),D19)</f>
        <v>246617</v>
      </c>
      <c r="E102" s="3429"/>
      <c r="F102" s="3386"/>
      <c r="G102" s="1686" t="s">
        <v>1433</v>
      </c>
      <c r="H102" s="2340">
        <f ca="1">I118</f>
        <v>11954</v>
      </c>
      <c r="I102" s="121"/>
    </row>
    <row r="103" spans="1:35" ht="42.75" customHeight="1">
      <c r="A103" s="3388"/>
      <c r="B103" s="2369" t="s">
        <v>1433</v>
      </c>
      <c r="C103" s="2372">
        <f ca="1">C20</f>
        <v>15199</v>
      </c>
      <c r="D103" s="2373">
        <f ca="1">D20</f>
        <v>9791</v>
      </c>
      <c r="E103" s="3423" t="s">
        <v>1434</v>
      </c>
      <c r="F103" s="3424"/>
      <c r="G103" s="1687" t="s">
        <v>1435</v>
      </c>
      <c r="H103" s="2380">
        <f>IF(D36="正常操作",H104+H105+H106,H105+H106)</f>
        <v>0</v>
      </c>
      <c r="I103" s="121"/>
    </row>
    <row r="104" spans="1:35" ht="18.75" customHeight="1">
      <c r="A104" s="3388" t="s">
        <v>1436</v>
      </c>
      <c r="B104" s="2374" t="s">
        <v>1431</v>
      </c>
      <c r="C104" s="2375">
        <f ca="1">H118</f>
        <v>301092</v>
      </c>
      <c r="D104" s="2376"/>
      <c r="E104" s="1554" t="s">
        <v>1437</v>
      </c>
      <c r="F104" s="1547"/>
      <c r="G104" s="1687" t="s">
        <v>1435</v>
      </c>
      <c r="H104" s="2381">
        <f>IF(D36="同一抵押权人同一抵押物续贷",C36&amp;"（续贷，未扣减，详见特别提示）",C36)</f>
        <v>0</v>
      </c>
      <c r="I104" s="121"/>
    </row>
    <row r="105" spans="1:35" ht="18.75" customHeight="1" thickBot="1">
      <c r="A105" s="3389"/>
      <c r="B105" s="2377" t="s">
        <v>1433</v>
      </c>
      <c r="C105" s="2378">
        <f ca="1">I118</f>
        <v>11954</v>
      </c>
      <c r="D105" s="2379"/>
      <c r="E105" s="1554" t="s">
        <v>1438</v>
      </c>
      <c r="F105" s="1547"/>
      <c r="G105" s="1687" t="s">
        <v>1435</v>
      </c>
      <c r="H105" s="2382">
        <f>C37</f>
        <v>0</v>
      </c>
      <c r="I105" s="121"/>
    </row>
    <row r="106" spans="1:35" ht="18.75" customHeight="1">
      <c r="A106" s="646" t="s">
        <v>1439</v>
      </c>
      <c r="B106" s="646"/>
      <c r="C106" s="646"/>
      <c r="D106" s="646"/>
      <c r="E106" s="1688" t="s">
        <v>1440</v>
      </c>
      <c r="F106" s="1547"/>
      <c r="G106" s="1687" t="s">
        <v>1435</v>
      </c>
      <c r="H106" s="2382">
        <f>C38</f>
        <v>0</v>
      </c>
      <c r="I106" s="121"/>
    </row>
    <row r="107" spans="1:35" ht="18.75" customHeight="1">
      <c r="A107" s="121"/>
      <c r="B107" s="121"/>
      <c r="C107" s="121"/>
      <c r="D107" s="121"/>
      <c r="E107" s="3385" t="str">
        <f>IF(项目基本情况!E8="已注销","——","3.房地产抵押价值")</f>
        <v>3.房地产抵押价值</v>
      </c>
      <c r="F107" s="3386"/>
      <c r="G107" s="1686" t="s">
        <v>1431</v>
      </c>
      <c r="H107" s="2380">
        <f ca="1">IF(E107="——","——",H101-H103)</f>
        <v>301092</v>
      </c>
      <c r="I107" s="121"/>
    </row>
    <row r="108" spans="1:35" ht="18.75" customHeight="1">
      <c r="A108" s="121"/>
      <c r="B108" s="121"/>
      <c r="C108" s="121"/>
      <c r="D108" s="121"/>
      <c r="E108" s="3385"/>
      <c r="F108" s="3386"/>
      <c r="G108" s="1686" t="s">
        <v>1433</v>
      </c>
      <c r="H108" s="2340">
        <f ca="1">IF(H107=H101,H102,ROUND(H107*10000/'数据-汇总表'!E3,0))</f>
        <v>11954</v>
      </c>
      <c r="I108" s="121"/>
    </row>
    <row r="109" spans="1:35" ht="18.75" customHeight="1">
      <c r="A109" s="121"/>
      <c r="B109" s="121"/>
      <c r="C109" s="121"/>
      <c r="D109" s="121"/>
      <c r="E109" s="3385" t="str">
        <f>IF(项目基本情况!E8="已注销及未注销","4.抵押担保权已注销时的房地产抵押价值",IF(项目基本情况!E8="已注销","3.抵押担保权已注销时的房地产抵押价值","——"))</f>
        <v>——</v>
      </c>
      <c r="F109" s="3386"/>
      <c r="G109" s="1686" t="s">
        <v>1431</v>
      </c>
      <c r="H109" s="2383" t="str">
        <f>IF(E109="——","——",H101-H105-H106)</f>
        <v>——</v>
      </c>
      <c r="I109" s="121"/>
    </row>
    <row r="110" spans="1:35" ht="18.75" customHeight="1">
      <c r="A110" s="121"/>
      <c r="B110" s="121"/>
      <c r="C110" s="121"/>
      <c r="D110" s="121"/>
      <c r="E110" s="3385"/>
      <c r="F110" s="3386"/>
      <c r="G110" s="1686" t="s">
        <v>1433</v>
      </c>
      <c r="H110" s="2340" t="str">
        <f>IF(H109="——","——",ROUND(H109*10000/'数据-汇总表'!E3,0))</f>
        <v>——</v>
      </c>
      <c r="I110" s="121"/>
    </row>
    <row r="111" spans="1:35" ht="18.75" customHeight="1">
      <c r="A111" s="121"/>
      <c r="B111" s="121"/>
      <c r="C111" s="121"/>
      <c r="D111" s="121"/>
      <c r="E111" s="3417" t="str">
        <f>IF(项目基本情况!E9="抵押净值",IF(OR(项目基本情况!E8="已注销",项目基本情况!E8="房地产抵押价值"),"4.抵押净值","5.抵押净值"),"——")</f>
        <v>——</v>
      </c>
      <c r="F111" s="3387"/>
      <c r="G111" s="1686" t="s">
        <v>1431</v>
      </c>
      <c r="H111" s="2380" t="str">
        <f>IF(E111="——","——",N59)</f>
        <v>——</v>
      </c>
      <c r="I111" s="121"/>
    </row>
    <row r="112" spans="1:35" ht="18.75" customHeight="1" thickBot="1">
      <c r="A112" s="121"/>
      <c r="B112" s="121"/>
      <c r="C112" s="121"/>
      <c r="D112" s="121"/>
      <c r="E112" s="3418"/>
      <c r="F112" s="3419"/>
      <c r="G112" s="1689" t="s">
        <v>1433</v>
      </c>
      <c r="H112" s="2384" t="str">
        <f>IF(E111="——","——",N61)</f>
        <v>——</v>
      </c>
      <c r="I112" s="121"/>
    </row>
    <row r="113" spans="1:27" ht="18.75" customHeight="1">
      <c r="A113" s="121"/>
      <c r="B113" s="121"/>
      <c r="C113" s="121"/>
      <c r="D113" s="121"/>
      <c r="E113" s="3390" t="s">
        <v>1439</v>
      </c>
      <c r="F113" s="3390"/>
      <c r="G113" s="3390"/>
      <c r="H113" s="3390"/>
      <c r="I113" s="121"/>
    </row>
    <row r="114" spans="1:27" ht="3.75" customHeight="1">
      <c r="A114" s="646"/>
      <c r="B114" s="646"/>
      <c r="C114" s="646"/>
      <c r="D114" s="646"/>
      <c r="E114" s="1670"/>
      <c r="F114" s="1670"/>
      <c r="G114" s="1670"/>
      <c r="H114" s="1670"/>
      <c r="I114" s="646"/>
    </row>
    <row r="115" spans="1:27" ht="18.75" customHeight="1">
      <c r="A115" s="3400" t="s">
        <v>1441</v>
      </c>
      <c r="B115" s="3401"/>
      <c r="C115" s="3401"/>
      <c r="D115" s="3401"/>
      <c r="E115" s="3401"/>
      <c r="F115" s="3401"/>
      <c r="G115" s="3401"/>
      <c r="H115" s="3401"/>
      <c r="I115" s="3402"/>
    </row>
    <row r="116" spans="1:27" ht="27" customHeight="1">
      <c r="A116" s="3356" t="s">
        <v>1442</v>
      </c>
      <c r="B116" s="3391" t="s">
        <v>1443</v>
      </c>
      <c r="C116" s="3391" t="s">
        <v>1444</v>
      </c>
      <c r="D116" s="3404" t="s">
        <v>1445</v>
      </c>
      <c r="E116" s="3405"/>
      <c r="F116" s="3399" t="s">
        <v>1446</v>
      </c>
      <c r="G116" s="3399"/>
      <c r="H116" s="3356" t="s">
        <v>1447</v>
      </c>
      <c r="I116" s="3356"/>
    </row>
    <row r="117" spans="1:27" ht="18.75" customHeight="1">
      <c r="A117" s="3356"/>
      <c r="B117" s="3392"/>
      <c r="C117" s="3392"/>
      <c r="D117" s="2149" t="s">
        <v>1448</v>
      </c>
      <c r="E117" s="2149" t="s">
        <v>1449</v>
      </c>
      <c r="F117" s="2149" t="s">
        <v>1448</v>
      </c>
      <c r="G117" s="2149" t="s">
        <v>1450</v>
      </c>
      <c r="H117" s="2149" t="s">
        <v>1448</v>
      </c>
      <c r="I117" s="2149" t="s">
        <v>1450</v>
      </c>
    </row>
    <row r="118" spans="1:27" ht="24.75" customHeight="1">
      <c r="A118" s="2385" t="str">
        <f>项目基本情况!S2</f>
        <v>房地产</v>
      </c>
      <c r="B118" s="2149">
        <f>M18</f>
        <v>251875.15999999997</v>
      </c>
      <c r="C118" s="2149">
        <f>M19</f>
        <v>217068.78</v>
      </c>
      <c r="D118" s="2149">
        <f ca="1">ROUND(IF(D32="总价",C34,E118*B118/10000),0)</f>
        <v>125862</v>
      </c>
      <c r="E118" s="2149">
        <f ca="1">ROUND(IF(C33="自定义",IF(D32="楼面单价",C34,D118*10000/B118),I118-G118),0)</f>
        <v>4997</v>
      </c>
      <c r="F118" s="2149">
        <f ca="1">ROUND(IF(D32="总价",C35,G118*B118/10000),0)</f>
        <v>175230</v>
      </c>
      <c r="G118" s="2149">
        <f ca="1">ROUND(IF(D32="楼面单价",C35,F118*10000/B118),0)</f>
        <v>6957</v>
      </c>
      <c r="H118" s="2149">
        <f ca="1">ROUND(IF(D32="总价",C32,I118*B118/10000),0)</f>
        <v>301092</v>
      </c>
      <c r="I118" s="2149">
        <f ca="1">ROUND(IF(D32="楼面单价",C32,H118*10000/B118),0)</f>
        <v>11954</v>
      </c>
    </row>
    <row r="119" spans="1:27" ht="18.75" customHeight="1">
      <c r="A119" s="3356" t="s">
        <v>1451</v>
      </c>
      <c r="B119" s="3356"/>
      <c r="C119" s="3356"/>
      <c r="D119" s="3396" t="str">
        <f ca="1">NUMBERSTRING(INT(D118*10000),2)&amp;"元整"</f>
        <v>壹拾贰亿伍仟捌佰陆拾贰万元整</v>
      </c>
      <c r="E119" s="3398"/>
      <c r="F119" s="3396" t="str">
        <f ca="1">NUMBERSTRING(INT(F118*10000),2)&amp;"元整"</f>
        <v>壹拾柒亿伍仟贰佰叁拾万元整</v>
      </c>
      <c r="G119" s="3398"/>
      <c r="H119" s="3396" t="str">
        <f ca="1">NUMBERSTRING(INT(H118*10000),2)&amp;"元整"</f>
        <v>叁拾亿壹仟零玖拾贰万元整</v>
      </c>
      <c r="I119" s="3398"/>
    </row>
    <row r="120" spans="1:27" ht="18.75" customHeight="1">
      <c r="A120" s="3420" t="str">
        <f>IF(项目基本情况!B9="房地产市场价值","",MID(E103,3,LEN(E103)-2))</f>
        <v>估价师知悉的法定优先受偿款</v>
      </c>
      <c r="B120" s="3421"/>
      <c r="C120" s="3422"/>
      <c r="D120" s="3420">
        <f>H103</f>
        <v>0</v>
      </c>
      <c r="E120" s="3421"/>
      <c r="F120" s="3421"/>
      <c r="G120" s="3421"/>
      <c r="H120" s="3421"/>
      <c r="I120" s="342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96" t="s">
        <v>1451</v>
      </c>
      <c r="B121" s="3397"/>
      <c r="C121" s="3398"/>
      <c r="D121" s="3396" t="str">
        <f>IF(D120=0,"零元整",NUMBERSTRING(INT(D120*10000),2)&amp;"元整")</f>
        <v>零元整</v>
      </c>
      <c r="E121" s="3397"/>
      <c r="F121" s="3397"/>
      <c r="G121" s="3397"/>
      <c r="H121" s="3397"/>
      <c r="I121" s="3398"/>
      <c r="AA121" s="684"/>
    </row>
    <row r="122" spans="1:27" ht="18.75" customHeight="1">
      <c r="A122" s="3387" t="str">
        <f>IF(项目基本情况!B9="房地产市场价值","",MID(E107,3,LEN(E107)-2))</f>
        <v>房地产抵押价值</v>
      </c>
      <c r="B122" s="3387"/>
      <c r="C122" s="3387"/>
      <c r="D122" s="3420">
        <f ca="1">H107</f>
        <v>301092</v>
      </c>
      <c r="E122" s="3421"/>
      <c r="F122" s="3421"/>
      <c r="G122" s="3421"/>
      <c r="H122" s="3421"/>
      <c r="I122" s="3422"/>
      <c r="AA122" s="684"/>
    </row>
    <row r="123" spans="1:27" ht="18.75" customHeight="1">
      <c r="A123" s="3356" t="s">
        <v>1451</v>
      </c>
      <c r="B123" s="3356"/>
      <c r="C123" s="3356"/>
      <c r="D123" s="3396" t="str">
        <f ca="1">NUMBERSTRING(INT(D122*10000),2)&amp;"元整"</f>
        <v>叁拾亿壹仟零玖拾贰万元整</v>
      </c>
      <c r="E123" s="3397"/>
      <c r="F123" s="3397"/>
      <c r="G123" s="3397"/>
      <c r="H123" s="3397"/>
      <c r="I123" s="3398"/>
      <c r="AA123" s="684"/>
    </row>
    <row r="124" spans="1:27" ht="18.75" customHeight="1">
      <c r="A124" s="3387" t="str">
        <f>IF(项目基本情况!B9="房地产市场价值","",MID(E109,3,LEN(E109)-2))</f>
        <v/>
      </c>
      <c r="B124" s="3387"/>
      <c r="C124" s="3387"/>
      <c r="D124" s="3420" t="str">
        <f>H109</f>
        <v>——</v>
      </c>
      <c r="E124" s="3421"/>
      <c r="F124" s="3421"/>
      <c r="G124" s="3421"/>
      <c r="H124" s="3421"/>
      <c r="I124" s="3422"/>
      <c r="AA124" s="684"/>
    </row>
    <row r="125" spans="1:27" ht="18.75" customHeight="1">
      <c r="A125" s="3356" t="s">
        <v>1451</v>
      </c>
      <c r="B125" s="3356"/>
      <c r="C125" s="3356"/>
      <c r="D125" s="3396" t="e">
        <f>NUMBERSTRING(INT(D124*10000),2)&amp;"元整"</f>
        <v>#VALUE!</v>
      </c>
      <c r="E125" s="3397"/>
      <c r="F125" s="3397"/>
      <c r="G125" s="3397"/>
      <c r="H125" s="3397"/>
      <c r="I125" s="3398"/>
      <c r="AA125" s="684"/>
    </row>
    <row r="126" spans="1:27" ht="18.75" customHeight="1">
      <c r="A126" s="3387" t="str">
        <f>IF(项目基本情况!B9="房地产市场价值","",MID(E111,3,LEN(E111)-2))</f>
        <v/>
      </c>
      <c r="B126" s="3387"/>
      <c r="C126" s="3387"/>
      <c r="D126" s="3420" t="str">
        <f>H111</f>
        <v>——</v>
      </c>
      <c r="E126" s="3421"/>
      <c r="F126" s="3421"/>
      <c r="G126" s="3421"/>
      <c r="H126" s="3421"/>
      <c r="I126" s="3422"/>
      <c r="AA126" s="684"/>
    </row>
    <row r="127" spans="1:27" ht="18.75" customHeight="1">
      <c r="A127" s="3356" t="s">
        <v>1451</v>
      </c>
      <c r="B127" s="3356"/>
      <c r="C127" s="3356"/>
      <c r="D127" s="3396" t="e">
        <f>NUMBERSTRING(INT(D126*10000),2)&amp;"元整"</f>
        <v>#VALUE!</v>
      </c>
      <c r="E127" s="3397"/>
      <c r="F127" s="3397"/>
      <c r="G127" s="3397"/>
      <c r="H127" s="3397"/>
      <c r="I127" s="3398"/>
      <c r="AA127" s="684"/>
    </row>
    <row r="128" spans="1:27" ht="21.75" customHeight="1">
      <c r="A128" s="3403" t="s">
        <v>1452</v>
      </c>
      <c r="B128" s="3403"/>
      <c r="C128" s="3403"/>
      <c r="D128" s="3403"/>
      <c r="E128" s="3403"/>
      <c r="F128" s="3403"/>
      <c r="G128" s="3403"/>
      <c r="H128" s="3403"/>
      <c r="I128" s="3403"/>
      <c r="AA128" s="684"/>
    </row>
    <row r="129" spans="1:35" ht="21.75" customHeight="1">
      <c r="A129" s="1690" t="s">
        <v>1453</v>
      </c>
      <c r="B129" s="1691"/>
      <c r="C129" s="1692" t="s">
        <v>1454</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1455</v>
      </c>
      <c r="G135" s="1705"/>
      <c r="H135" s="1705"/>
      <c r="I135" s="1706" t="s">
        <v>1456</v>
      </c>
    </row>
    <row r="136" spans="1:35" ht="21.75" customHeight="1">
      <c r="A136" s="684"/>
      <c r="B136" s="1707"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1458</v>
      </c>
    </row>
    <row r="139" spans="1:35" ht="21.75" customHeight="1">
      <c r="A139" s="684"/>
      <c r="B139" s="1707" t="s">
        <v>1459</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1458</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8" t="str">
        <f>项目基本情况!B1</f>
        <v>房地产抵押价值预评估</v>
      </c>
      <c r="C37" s="3248"/>
      <c r="D37" s="3248"/>
      <c r="E37" s="3248"/>
      <c r="F37" s="3248"/>
      <c r="G37" s="3248"/>
      <c r="H37" s="3248"/>
      <c r="I37" s="324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M58" sqref="M5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2">
        <f>MATCH(B1,'数据-取费表'!A6:A16,0)+5</f>
        <v>7</v>
      </c>
    </row>
    <row r="2" spans="1:9" s="192" customFormat="1" ht="18" customHeight="1">
      <c r="A2" s="193" t="s">
        <v>1461</v>
      </c>
      <c r="B2" s="194">
        <f ca="1">IF(D2="——",C52,C52-E2)</f>
        <v>382833</v>
      </c>
      <c r="C2" s="191" t="s">
        <v>1462</v>
      </c>
      <c r="D2" s="1710" t="s">
        <v>43</v>
      </c>
      <c r="E2" s="1089"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15199</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109156</v>
      </c>
      <c r="D5" s="203" t="s">
        <v>1468</v>
      </c>
      <c r="E5" s="204" t="s">
        <v>1469</v>
      </c>
      <c r="F5" s="204" t="s">
        <v>1470</v>
      </c>
      <c r="G5" s="205"/>
    </row>
    <row r="6" spans="1:9" s="206" customFormat="1" ht="13.5" customHeight="1">
      <c r="A6" s="732" t="s">
        <v>1471</v>
      </c>
      <c r="B6" s="207" t="s">
        <v>1472</v>
      </c>
      <c r="C6" s="208">
        <f>'土地比较法-住宅、综合'!B2</f>
        <v>102992</v>
      </c>
      <c r="D6" s="209"/>
      <c r="E6" s="210"/>
      <c r="F6" s="210"/>
      <c r="G6" s="211"/>
    </row>
    <row r="7" spans="1:9" s="206" customFormat="1" ht="13.5" customHeight="1">
      <c r="A7" s="732" t="s">
        <v>1473</v>
      </c>
      <c r="B7" s="207" t="s">
        <v>1474</v>
      </c>
      <c r="C7" s="212">
        <f>ROUND(C6*F7,0)</f>
        <v>3141</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3023</v>
      </c>
      <c r="D8" s="214"/>
      <c r="E8" s="212"/>
      <c r="F8" s="213"/>
      <c r="G8" s="1713" t="s">
        <v>3580</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0</v>
      </c>
      <c r="F9" s="213"/>
      <c r="G9" s="1714" t="s">
        <v>3581</v>
      </c>
      <c r="H9" s="1070"/>
      <c r="I9" s="1715" t="s">
        <v>1478</v>
      </c>
    </row>
    <row r="10" spans="1:9" s="206" customFormat="1" ht="13.5" customHeight="1">
      <c r="A10" s="733" t="s">
        <v>356</v>
      </c>
      <c r="B10" s="216" t="s">
        <v>1479</v>
      </c>
      <c r="C10" s="217">
        <f ca="1">ROUND(D10*E10/10000,0)</f>
        <v>3023</v>
      </c>
      <c r="D10" s="795">
        <f ca="1">IF(B1="",'数据-汇总表'!E6,IF(INDIRECT("'数据-取费表'!c"&amp;$G$1)="住宅",INDIRECT("'数据-取费表'!s"&amp;$G$1),INDIRECT("'数据-取费表'!k"&amp;$G$1)+INDIRECT("'数据-取费表'!s"&amp;$G$1)))</f>
        <v>251875.15999999997</v>
      </c>
      <c r="E10" s="217">
        <f>'数据-取费表'!B28</f>
        <v>120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251875.15999999997</v>
      </c>
      <c r="E19" s="203">
        <f>'数据-取费表'!B31</f>
        <v>200</v>
      </c>
      <c r="F19" s="223"/>
      <c r="G19" s="1713" t="s">
        <v>3582</v>
      </c>
    </row>
    <row r="20" spans="1:7" s="206" customFormat="1" ht="13.5" customHeight="1">
      <c r="A20" s="247" t="s">
        <v>1492</v>
      </c>
      <c r="B20" s="202" t="s">
        <v>1493</v>
      </c>
      <c r="C20" s="224">
        <f ca="1">ROUND((C5+C19)*F20,0)</f>
        <v>3275</v>
      </c>
      <c r="D20" s="224"/>
      <c r="E20" s="224"/>
      <c r="F20" s="225">
        <f>'数据-取费表'!B37</f>
        <v>0.03</v>
      </c>
      <c r="G20" s="226" t="s">
        <v>1494</v>
      </c>
    </row>
    <row r="21" spans="1:7" s="206" customFormat="1" ht="13.5" customHeight="1">
      <c r="A21" s="247" t="s">
        <v>1495</v>
      </c>
      <c r="B21" s="202" t="s">
        <v>1496</v>
      </c>
      <c r="C21" s="227">
        <f>F21</f>
        <v>0.03</v>
      </c>
      <c r="D21" s="228" t="s">
        <v>1497</v>
      </c>
      <c r="E21" s="224"/>
      <c r="F21" s="225">
        <f>'数据-取费表'!B38</f>
        <v>0.03</v>
      </c>
      <c r="G21" s="226" t="s">
        <v>1498</v>
      </c>
    </row>
    <row r="22" spans="1:7" s="206" customFormat="1" ht="13.5" customHeight="1">
      <c r="A22" s="247" t="s">
        <v>1499</v>
      </c>
      <c r="B22" s="202" t="s">
        <v>1500</v>
      </c>
      <c r="C22" s="1041">
        <f ca="1">ROUND(SUM(C23:C25),0)</f>
        <v>10622</v>
      </c>
      <c r="D22" s="227">
        <f ca="1">C26</f>
        <v>1.4E-3</v>
      </c>
      <c r="E22" s="228" t="s">
        <v>1497</v>
      </c>
      <c r="F22" s="229">
        <f ca="1">'数据-取费表'!B40</f>
        <v>3.1E-2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10469</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153</v>
      </c>
      <c r="D25" s="230"/>
      <c r="E25" s="233"/>
      <c r="F25" s="231"/>
      <c r="G25" s="234" t="s">
        <v>1509</v>
      </c>
    </row>
    <row r="26" spans="1:7" s="206" customFormat="1">
      <c r="A26" s="734" t="s">
        <v>350</v>
      </c>
      <c r="B26" s="207" t="s">
        <v>1510</v>
      </c>
      <c r="C26" s="230">
        <f ca="1">ROUND(IF('数据-取费表'!B22&lt;=1,F21*F22*'数据-取费表'!B23/2,F21*(POWER((1+F22),'数据-取费表'!B23/2)-1)),4)</f>
        <v>1.4E-3</v>
      </c>
      <c r="D26" s="230"/>
      <c r="E26" s="233"/>
      <c r="F26" s="231"/>
      <c r="G26" s="235"/>
    </row>
    <row r="27" spans="1:7" s="206" customFormat="1" ht="24.75">
      <c r="A27" s="247" t="s">
        <v>1511</v>
      </c>
      <c r="B27" s="236" t="s">
        <v>1512</v>
      </c>
      <c r="C27" s="237">
        <f ca="1">C28</f>
        <v>22486</v>
      </c>
      <c r="D27" s="227">
        <f ca="1">C29</f>
        <v>6.0000000000000001E-3</v>
      </c>
      <c r="E27" s="228" t="s">
        <v>1513</v>
      </c>
      <c r="F27" s="238">
        <f ca="1">IF(B1="",'数据-取费表'!Q16,INDIRECT("'数据-取费表'!q"&amp;$G$1))</f>
        <v>0.2</v>
      </c>
      <c r="G27" s="239" t="s">
        <v>1514</v>
      </c>
    </row>
    <row r="28" spans="1:7" s="206" customFormat="1" ht="13.5" customHeight="1">
      <c r="A28" s="734" t="s">
        <v>346</v>
      </c>
      <c r="B28" s="240" t="s">
        <v>1515</v>
      </c>
      <c r="C28" s="241">
        <f ca="1">ROUND((C5+C19+C20)*F27*'数据-取费表'!B21/'数据-取费表'!B20,0)</f>
        <v>22486</v>
      </c>
      <c r="D28" s="227"/>
      <c r="E28" s="228"/>
      <c r="F28" s="238"/>
      <c r="G28" s="239"/>
    </row>
    <row r="29" spans="1:7" s="206" customFormat="1" ht="13.5" customHeight="1">
      <c r="A29" s="734" t="s">
        <v>347</v>
      </c>
      <c r="B29" s="240" t="s">
        <v>1516</v>
      </c>
      <c r="C29" s="230">
        <f ca="1">ROUND(C21*F27*'数据-取费表'!B21/'数据-取费表'!B20,4)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160056</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190041</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163719</v>
      </c>
      <c r="D34" s="209"/>
      <c r="E34" s="212"/>
      <c r="F34" s="249">
        <f ca="1">IF('数据-取费表'!B24=0,1,IF(B1="",'数据-取费表'!N16,INDIRECT("'数据-取费表'!n"&amp;$G$1)))</f>
        <v>1</v>
      </c>
      <c r="G34" s="211" t="s">
        <v>1525</v>
      </c>
    </row>
    <row r="35" spans="1:7" ht="13.5" customHeight="1">
      <c r="A35" s="734" t="s">
        <v>351</v>
      </c>
      <c r="B35" s="207" t="s">
        <v>1526</v>
      </c>
      <c r="C35" s="212">
        <f ca="1">ROUND(C34*F35,0)</f>
        <v>16372</v>
      </c>
      <c r="D35" s="212"/>
      <c r="E35" s="212"/>
      <c r="F35" s="251">
        <f>'数据-取费表'!B33</f>
        <v>0.1</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5038</v>
      </c>
      <c r="D37" s="209">
        <f ca="1">D19</f>
        <v>251875.15999999997</v>
      </c>
      <c r="E37" s="241">
        <f>'数据-取费表'!B35</f>
        <v>200</v>
      </c>
      <c r="F37" s="251"/>
      <c r="G37" s="253" t="s">
        <v>1531</v>
      </c>
    </row>
    <row r="38" spans="1:7" ht="13.5" customHeight="1">
      <c r="A38" s="734" t="s">
        <v>354</v>
      </c>
      <c r="B38" s="207" t="s">
        <v>1532</v>
      </c>
      <c r="C38" s="212">
        <f ca="1">ROUND(C34*F38,0)</f>
        <v>4912</v>
      </c>
      <c r="D38" s="212"/>
      <c r="E38" s="212"/>
      <c r="F38" s="251">
        <f>'数据-取费表'!B36</f>
        <v>0.03</v>
      </c>
      <c r="G38" s="211" t="s">
        <v>1527</v>
      </c>
    </row>
    <row r="39" spans="1:7" s="206" customFormat="1" ht="13.5" customHeight="1">
      <c r="A39" s="247" t="s">
        <v>1533</v>
      </c>
      <c r="B39" s="202" t="s">
        <v>1534</v>
      </c>
      <c r="C39" s="224">
        <f ca="1">ROUND(C33*F20,0)</f>
        <v>5701</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9172</v>
      </c>
      <c r="D41" s="227">
        <f ca="1">C44</f>
        <v>1.4E-3</v>
      </c>
      <c r="E41" s="228" t="s">
        <v>1538</v>
      </c>
      <c r="F41" s="229">
        <f ca="1">F22</f>
        <v>3.1E-2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8905</v>
      </c>
      <c r="D42" s="230"/>
      <c r="E42" s="230"/>
      <c r="F42" s="231"/>
      <c r="G42" s="3436" t="s">
        <v>1543</v>
      </c>
    </row>
    <row r="43" spans="1:7" ht="13.5" customHeight="1">
      <c r="A43" s="734" t="s">
        <v>347</v>
      </c>
      <c r="B43" s="207" t="s">
        <v>1544</v>
      </c>
      <c r="C43" s="230">
        <f ca="1">ROUND(IF('数据-取费表'!B22&lt;=1,C39*F22*'数据-取费表'!B21/2,C39*(POWER((1+F22),'数据-取费表'!B21/2)-1)),0)</f>
        <v>267</v>
      </c>
      <c r="D43" s="230"/>
      <c r="E43" s="230"/>
      <c r="F43" s="231"/>
      <c r="G43" s="3437"/>
    </row>
    <row r="44" spans="1:7" ht="13.5" customHeight="1">
      <c r="A44" s="734" t="s">
        <v>348</v>
      </c>
      <c r="B44" s="207" t="s">
        <v>1545</v>
      </c>
      <c r="C44" s="230">
        <f ca="1">ROUND(IF('数据-取费表'!B22&lt;=1,C40*F22*'数据-取费表'!B21/2,C40*(POWER((1+F22),'数据-取费表'!B21/2)-1)),4)</f>
        <v>1.4E-3</v>
      </c>
      <c r="D44" s="230"/>
      <c r="E44" s="230"/>
      <c r="F44" s="231"/>
      <c r="G44" s="3438"/>
    </row>
    <row r="45" spans="1:7" s="206" customFormat="1" ht="13.5" customHeight="1">
      <c r="A45" s="247" t="s">
        <v>1546</v>
      </c>
      <c r="B45" s="236" t="s">
        <v>1512</v>
      </c>
      <c r="C45" s="237">
        <f ca="1">C46</f>
        <v>39148</v>
      </c>
      <c r="D45" s="227">
        <f ca="1">C47</f>
        <v>6.0000000000000001E-3</v>
      </c>
      <c r="E45" s="228" t="s">
        <v>1538</v>
      </c>
      <c r="F45" s="238">
        <f ca="1">F27</f>
        <v>0.2</v>
      </c>
      <c r="G45" s="239" t="s">
        <v>1547</v>
      </c>
    </row>
    <row r="46" spans="1:7" s="206" customFormat="1" ht="13.5" customHeight="1">
      <c r="A46" s="734" t="s">
        <v>346</v>
      </c>
      <c r="B46" s="240" t="s">
        <v>1548</v>
      </c>
      <c r="C46" s="241">
        <f ca="1">ROUND((C33+C39)*F27,0)</f>
        <v>39148</v>
      </c>
      <c r="D46" s="255"/>
      <c r="E46" s="228"/>
      <c r="F46" s="238"/>
      <c r="G46" s="239"/>
    </row>
    <row r="47" spans="1:7" s="206" customFormat="1" ht="13.5" customHeight="1">
      <c r="A47" s="734" t="s">
        <v>347</v>
      </c>
      <c r="B47" s="240" t="s">
        <v>1549</v>
      </c>
      <c r="C47" s="230">
        <f ca="1">ROUND(C40*F27,4)</f>
        <v>6.0000000000000001E-3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268406</v>
      </c>
      <c r="D49" s="224"/>
      <c r="E49" s="224"/>
      <c r="F49" s="256"/>
      <c r="G49" s="226" t="s">
        <v>1553</v>
      </c>
    </row>
    <row r="50" spans="1:7" s="250" customFormat="1" ht="24">
      <c r="A50" s="247" t="s">
        <v>1554</v>
      </c>
      <c r="B50" s="202" t="s">
        <v>1555</v>
      </c>
      <c r="C50" s="224"/>
      <c r="D50" s="224"/>
      <c r="E50" s="224"/>
      <c r="F50" s="256">
        <f>IF('数据-取费表'!B24=0,'数据-取费表'!N16,1)</f>
        <v>0.83</v>
      </c>
      <c r="G50" s="239" t="s">
        <v>1556</v>
      </c>
    </row>
    <row r="51" spans="1:7" ht="16.5" customHeight="1">
      <c r="A51" s="247" t="s">
        <v>1557</v>
      </c>
      <c r="B51" s="202" t="s">
        <v>1558</v>
      </c>
      <c r="C51" s="224">
        <f ca="1">ROUND(C49*F50,0)</f>
        <v>222777</v>
      </c>
      <c r="D51" s="224"/>
      <c r="E51" s="224"/>
      <c r="F51" s="256"/>
      <c r="G51" s="226" t="s">
        <v>1559</v>
      </c>
    </row>
    <row r="52" spans="1:7" s="200" customFormat="1" ht="16.5" thickBot="1">
      <c r="A52" s="257" t="s">
        <v>1560</v>
      </c>
      <c r="B52" s="258"/>
      <c r="C52" s="259">
        <f ca="1">C31+C51</f>
        <v>382833</v>
      </c>
      <c r="D52" s="258"/>
      <c r="E52" s="258"/>
      <c r="F52" s="258"/>
      <c r="G52" s="260"/>
    </row>
    <row r="55" spans="1:7" ht="15">
      <c r="B55" s="262" t="s">
        <v>1561</v>
      </c>
      <c r="C55" s="263"/>
    </row>
    <row r="56" spans="1:7">
      <c r="B56" s="265" t="s">
        <v>802</v>
      </c>
      <c r="C56" s="267">
        <f ca="1">1-C57</f>
        <v>0.41800000000000004</v>
      </c>
    </row>
    <row r="57" spans="1:7">
      <c r="B57" s="265" t="s">
        <v>803</v>
      </c>
      <c r="C57" s="266">
        <f ca="1">ROUND(C51/C52,3)</f>
        <v>0.58199999999999996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2">
        <f>MATCH(B1,'数据-取费表'!A6:A16,0)+5</f>
        <v>7</v>
      </c>
      <c r="H1" s="998" t="str">
        <f>IF(ISERROR(FIND("住宅",B1)),"非住宅","住宅")</f>
        <v>非住宅</v>
      </c>
    </row>
    <row r="2" spans="1:8" s="192" customFormat="1" ht="18" customHeight="1">
      <c r="A2" s="193" t="s">
        <v>1461</v>
      </c>
      <c r="B2" s="3120">
        <f ca="1">ROUND(IF(D2="——",C52/10000,C52/10000-E2),4)</f>
        <v>234595.25580000001</v>
      </c>
      <c r="C2" s="191" t="s">
        <v>1462</v>
      </c>
      <c r="D2" s="1710" t="s">
        <v>43</v>
      </c>
      <c r="E2" s="1089"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9314</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30225019</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30225019</v>
      </c>
      <c r="D8" s="214"/>
      <c r="E8" s="212"/>
      <c r="F8" s="213"/>
      <c r="G8" s="1713"/>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1479</v>
      </c>
      <c r="C10" s="217">
        <f ca="1">ROUND(D10*E10,0)</f>
        <v>30225019</v>
      </c>
      <c r="D10" s="795">
        <f ca="1">IF(B1="",'数据-汇总表'!E6,IF(INDIRECT("'数据-取费表'!c"&amp;$G$1)="住宅",INDIRECT("'数据-取费表'!s"&amp;$G$1),INDIRECT("'数据-取费表'!k"&amp;$G$1)+INDIRECT("'数据-取费表'!s"&amp;$G$1)))</f>
        <v>251875.15999999997</v>
      </c>
      <c r="E10" s="217">
        <f>'数据-取费表'!B28</f>
        <v>120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50375032</v>
      </c>
      <c r="D19" s="204">
        <f ca="1">D9+D10</f>
        <v>251875.15999999997</v>
      </c>
      <c r="E19" s="203">
        <f>'数据-取费表'!B31</f>
        <v>200</v>
      </c>
      <c r="F19" s="223"/>
      <c r="G19" s="1713"/>
    </row>
    <row r="20" spans="1:7" s="206" customFormat="1" ht="13.5" customHeight="1">
      <c r="A20" s="247" t="s">
        <v>1573</v>
      </c>
      <c r="B20" s="202" t="s">
        <v>1574</v>
      </c>
      <c r="C20" s="224">
        <f ca="1">ROUND((C5+C19)*F20,0)</f>
        <v>2418002</v>
      </c>
      <c r="D20" s="224"/>
      <c r="E20" s="224"/>
      <c r="F20" s="225">
        <f>'数据-取费表'!B37</f>
        <v>0.03</v>
      </c>
      <c r="G20" s="226" t="s">
        <v>1575</v>
      </c>
    </row>
    <row r="21" spans="1:7" s="206" customFormat="1" ht="13.5" customHeight="1">
      <c r="A21" s="247" t="s">
        <v>1576</v>
      </c>
      <c r="B21" s="202" t="s">
        <v>1577</v>
      </c>
      <c r="C21" s="227">
        <f>F21</f>
        <v>0.03</v>
      </c>
      <c r="D21" s="228" t="s">
        <v>1578</v>
      </c>
      <c r="E21" s="224"/>
      <c r="F21" s="225">
        <f>'数据-取费表'!B38</f>
        <v>0.03</v>
      </c>
      <c r="G21" s="226" t="s">
        <v>1579</v>
      </c>
    </row>
    <row r="22" spans="1:7" s="206" customFormat="1" ht="13.5" customHeight="1">
      <c r="A22" s="247" t="s">
        <v>1580</v>
      </c>
      <c r="B22" s="202" t="s">
        <v>1581</v>
      </c>
      <c r="C22" s="224">
        <f ca="1">ROUND(SUM(C23:C25),0)</f>
        <v>7843880</v>
      </c>
      <c r="D22" s="227">
        <f ca="1">C26</f>
        <v>1.4E-3</v>
      </c>
      <c r="E22" s="228" t="s">
        <v>1578</v>
      </c>
      <c r="F22" s="229">
        <f ca="1">'数据-取费表'!B40</f>
        <v>3.1E-2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2898966</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4831610</v>
      </c>
      <c r="D24" s="230"/>
      <c r="E24" s="230"/>
      <c r="F24" s="231"/>
      <c r="G24" s="232" t="s">
        <v>1585</v>
      </c>
    </row>
    <row r="25" spans="1:7" s="206" customFormat="1" ht="24">
      <c r="A25" s="734" t="s">
        <v>1475</v>
      </c>
      <c r="B25" s="207" t="s">
        <v>1586</v>
      </c>
      <c r="C25" s="230">
        <f ca="1">ROUND(IF('数据-取费表'!B22&lt;=1,C20*F22*'数据-取费表'!B22/2,C20*(POWER((1+F22),'数据-取费表'!B22/2)-1)),0)</f>
        <v>113304</v>
      </c>
      <c r="D25" s="230"/>
      <c r="E25" s="233"/>
      <c r="F25" s="231"/>
      <c r="G25" s="234" t="s">
        <v>1587</v>
      </c>
    </row>
    <row r="26" spans="1:7" s="206" customFormat="1">
      <c r="A26" s="734" t="s">
        <v>350</v>
      </c>
      <c r="B26" s="207" t="s">
        <v>1510</v>
      </c>
      <c r="C26" s="230">
        <f ca="1">ROUND(IF('数据-取费表'!B22&lt;=1,F21*F22*'数据-取费表'!B22/2,F21*(POWER((1+F22),'数据-取费表'!B22/2)-1)),4)</f>
        <v>1.4E-3</v>
      </c>
      <c r="D26" s="230"/>
      <c r="E26" s="233"/>
      <c r="F26" s="231"/>
      <c r="G26" s="235"/>
    </row>
    <row r="27" spans="1:7" s="206" customFormat="1" ht="24.75">
      <c r="A27" s="247" t="s">
        <v>1511</v>
      </c>
      <c r="B27" s="236" t="s">
        <v>1512</v>
      </c>
      <c r="C27" s="237">
        <f ca="1">C28</f>
        <v>16603611</v>
      </c>
      <c r="D27" s="227">
        <f ca="1">C29</f>
        <v>6.0000000000000001E-3</v>
      </c>
      <c r="E27" s="228" t="s">
        <v>1513</v>
      </c>
      <c r="F27" s="238">
        <f ca="1">IF(B1="",'数据-取费表'!Q16,INDIRECT("'数据-取费表'!q"&amp;$G$1))</f>
        <v>0.2</v>
      </c>
      <c r="G27" s="239" t="s">
        <v>1514</v>
      </c>
    </row>
    <row r="28" spans="1:7" s="206" customFormat="1" ht="13.5" customHeight="1">
      <c r="A28" s="734" t="s">
        <v>346</v>
      </c>
      <c r="B28" s="240" t="s">
        <v>1515</v>
      </c>
      <c r="C28" s="241">
        <f ca="1">ROUND((C5+C19+C20)*F27,0)</f>
        <v>16603611</v>
      </c>
      <c r="D28" s="227"/>
      <c r="E28" s="228"/>
      <c r="F28" s="238"/>
      <c r="G28" s="239"/>
    </row>
    <row r="29" spans="1:7" s="206" customFormat="1" ht="13.5" customHeight="1">
      <c r="A29" s="734" t="s">
        <v>347</v>
      </c>
      <c r="B29" s="240" t="s">
        <v>1516</v>
      </c>
      <c r="C29" s="230">
        <f ca="1">ROUND(C21*F27,4)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118184916</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1900398082</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1637188540</v>
      </c>
      <c r="D34" s="209"/>
      <c r="E34" s="212"/>
      <c r="F34" s="249"/>
      <c r="G34" s="211"/>
    </row>
    <row r="35" spans="1:7" ht="13.5" customHeight="1">
      <c r="A35" s="734" t="s">
        <v>351</v>
      </c>
      <c r="B35" s="207" t="s">
        <v>1526</v>
      </c>
      <c r="C35" s="212">
        <f ca="1">ROUND(C34*F35,0)</f>
        <v>163718854</v>
      </c>
      <c r="D35" s="212"/>
      <c r="E35" s="212"/>
      <c r="F35" s="251">
        <f>'数据-取费表'!B33</f>
        <v>0.1</v>
      </c>
      <c r="G35" s="211" t="s">
        <v>1527</v>
      </c>
    </row>
    <row r="36" spans="1:7" ht="24">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50375032</v>
      </c>
      <c r="D37" s="209">
        <f ca="1">D19</f>
        <v>251875.15999999997</v>
      </c>
      <c r="E37" s="241">
        <f>'数据-取费表'!B35</f>
        <v>200</v>
      </c>
      <c r="F37" s="251"/>
      <c r="G37" s="253"/>
    </row>
    <row r="38" spans="1:7" ht="13.5" customHeight="1">
      <c r="A38" s="734" t="s">
        <v>354</v>
      </c>
      <c r="B38" s="207" t="s">
        <v>1532</v>
      </c>
      <c r="C38" s="212">
        <f ca="1">ROUND(C34*F38,0)</f>
        <v>49115656</v>
      </c>
      <c r="D38" s="212"/>
      <c r="E38" s="212"/>
      <c r="F38" s="251">
        <f>'数据-取费表'!B36</f>
        <v>0.03</v>
      </c>
      <c r="G38" s="211" t="s">
        <v>1527</v>
      </c>
    </row>
    <row r="39" spans="1:7" s="206" customFormat="1" ht="13.5" customHeight="1">
      <c r="A39" s="247" t="s">
        <v>1533</v>
      </c>
      <c r="B39" s="202" t="s">
        <v>1534</v>
      </c>
      <c r="C39" s="224">
        <f ca="1">ROUND(C33*F20,0)</f>
        <v>57011942</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91721365</v>
      </c>
      <c r="D41" s="227">
        <f ca="1">C44</f>
        <v>1.4E-3</v>
      </c>
      <c r="E41" s="228" t="s">
        <v>1538</v>
      </c>
      <c r="F41" s="229">
        <f ca="1">F22</f>
        <v>3.1E-2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89049869</v>
      </c>
      <c r="D42" s="230"/>
      <c r="E42" s="230"/>
      <c r="F42" s="231"/>
      <c r="G42" s="3436" t="s">
        <v>1590</v>
      </c>
    </row>
    <row r="43" spans="1:7" ht="13.5" customHeight="1">
      <c r="A43" s="734" t="s">
        <v>347</v>
      </c>
      <c r="B43" s="207" t="s">
        <v>1544</v>
      </c>
      <c r="C43" s="230">
        <f ca="1">ROUND(IF('数据-取费表'!B22&lt;=1,C39*F22*'数据-取费表'!B20/2,C39*(POWER((1+F22),'数据-取费表'!B20/2)-1)),0)</f>
        <v>2671496</v>
      </c>
      <c r="D43" s="230"/>
      <c r="E43" s="230"/>
      <c r="F43" s="231"/>
      <c r="G43" s="3437"/>
    </row>
    <row r="44" spans="1:7" ht="13.5" customHeight="1">
      <c r="A44" s="734" t="s">
        <v>348</v>
      </c>
      <c r="B44" s="207" t="s">
        <v>1545</v>
      </c>
      <c r="C44" s="230">
        <f ca="1">ROUND(IF('数据-取费表'!B22&lt;=1,C40*F22*'数据-取费表'!B20/2,C40*(POWER((1+F22),'数据-取费表'!B20/2)-1)),4)</f>
        <v>1.4E-3</v>
      </c>
      <c r="D44" s="230"/>
      <c r="E44" s="230"/>
      <c r="F44" s="231"/>
      <c r="G44" s="3438"/>
    </row>
    <row r="45" spans="1:7" s="206" customFormat="1" ht="13.5" customHeight="1">
      <c r="A45" s="247" t="s">
        <v>1546</v>
      </c>
      <c r="B45" s="236" t="s">
        <v>1512</v>
      </c>
      <c r="C45" s="237">
        <f ca="1">C46</f>
        <v>391482005</v>
      </c>
      <c r="D45" s="227">
        <f ca="1">C47</f>
        <v>6.0000000000000001E-3</v>
      </c>
      <c r="E45" s="228" t="s">
        <v>1538</v>
      </c>
      <c r="F45" s="238">
        <f ca="1">F27</f>
        <v>0.2</v>
      </c>
      <c r="G45" s="239" t="s">
        <v>1547</v>
      </c>
    </row>
    <row r="46" spans="1:7" s="206" customFormat="1" ht="13.5" customHeight="1">
      <c r="A46" s="734" t="s">
        <v>346</v>
      </c>
      <c r="B46" s="240" t="s">
        <v>1548</v>
      </c>
      <c r="C46" s="241">
        <f ca="1">ROUND((C33+C39)*F27,0)</f>
        <v>391482005</v>
      </c>
      <c r="D46" s="255"/>
      <c r="E46" s="228"/>
      <c r="F46" s="238"/>
      <c r="G46" s="239"/>
    </row>
    <row r="47" spans="1:7" s="206" customFormat="1" ht="13.5" customHeight="1">
      <c r="A47" s="734" t="s">
        <v>347</v>
      </c>
      <c r="B47" s="240" t="s">
        <v>1549</v>
      </c>
      <c r="C47" s="230">
        <f ca="1">ROUND(C40*F27,4)</f>
        <v>6.0000000000000001E-3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2684057400</v>
      </c>
      <c r="D49" s="224"/>
      <c r="E49" s="224"/>
      <c r="F49" s="256"/>
      <c r="G49" s="226" t="s">
        <v>1553</v>
      </c>
    </row>
    <row r="50" spans="1:7" s="250" customFormat="1">
      <c r="A50" s="247" t="s">
        <v>1554</v>
      </c>
      <c r="B50" s="202" t="s">
        <v>1555</v>
      </c>
      <c r="C50" s="224"/>
      <c r="D50" s="224"/>
      <c r="E50" s="224"/>
      <c r="F50" s="256">
        <f>IF('数据-取费表'!B24=0,'数据-取费表'!N16,1)</f>
        <v>0.83</v>
      </c>
      <c r="G50" s="239"/>
    </row>
    <row r="51" spans="1:7" ht="16.5" customHeight="1">
      <c r="A51" s="247" t="s">
        <v>1557</v>
      </c>
      <c r="B51" s="202" t="s">
        <v>1592</v>
      </c>
      <c r="C51" s="224">
        <f ca="1">ROUND(C49*F50,0)</f>
        <v>2227767642</v>
      </c>
      <c r="D51" s="224"/>
      <c r="E51" s="224"/>
      <c r="F51" s="256"/>
      <c r="G51" s="226" t="s">
        <v>1559</v>
      </c>
    </row>
    <row r="52" spans="1:7" s="200" customFormat="1" ht="16.5" thickBot="1">
      <c r="A52" s="257" t="s">
        <v>1560</v>
      </c>
      <c r="B52" s="258"/>
      <c r="C52" s="259">
        <f ca="1">C31+C51</f>
        <v>2345952558</v>
      </c>
      <c r="D52" s="258"/>
      <c r="E52" s="258"/>
      <c r="F52" s="258"/>
      <c r="G52" s="260"/>
    </row>
    <row r="55" spans="1:7" ht="15">
      <c r="B55" s="262" t="s">
        <v>1561</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5">
      <c r="A5" s="740" t="s">
        <v>1597</v>
      </c>
      <c r="B5" s="741" t="s">
        <v>1598</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0.1</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251875.15999999997</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0.03</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251875.15999999997</v>
      </c>
      <c r="E17" s="21">
        <f>'数据-取费表'!B32</f>
        <v>0</v>
      </c>
      <c r="F17" s="758"/>
      <c r="G17" s="123" t="s">
        <v>1622</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0</v>
      </c>
      <c r="D18" s="796"/>
      <c r="E18" s="21"/>
      <c r="F18" s="756"/>
      <c r="G18" s="1719"/>
      <c r="H18" s="1105"/>
      <c r="I18" s="1720"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1626</v>
      </c>
      <c r="C20" s="21">
        <f ca="1">ROUND(D20*E20/10000,0)</f>
        <v>3023</v>
      </c>
      <c r="D20" s="796">
        <f ca="1">IF(C1="",'数据-汇总表'!E6,IF(INDIRECT("'数据-取费表'!c"&amp;$K$1)="住宅",INDIRECT("'数据-取费表'!s"&amp;$K$1),INDIRECT("'数据-取费表'!k"&amp;$K$1)+INDIRECT("'数据-取费表'!s"&amp;$K$1)))</f>
        <v>251875.15999999997</v>
      </c>
      <c r="E20" s="21">
        <f>'数据-取费表'!B28</f>
        <v>120</v>
      </c>
      <c r="F20" s="756"/>
      <c r="G20" s="12"/>
      <c r="H20" s="761"/>
      <c r="I20" s="761"/>
      <c r="J20" s="761"/>
      <c r="K20" s="762"/>
    </row>
    <row r="21" spans="1:33" s="755" customFormat="1" ht="13.5" customHeight="1">
      <c r="A21" s="744" t="s">
        <v>357</v>
      </c>
      <c r="B21" s="765" t="s">
        <v>1627</v>
      </c>
      <c r="C21" s="766">
        <f ca="1">C16+C17+C18</f>
        <v>0</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0.03</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0.03</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1640</v>
      </c>
      <c r="B28" s="1722" t="s">
        <v>1641</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3" t="s">
        <v>1645</v>
      </c>
      <c r="B31" s="783" t="s">
        <v>1646</v>
      </c>
      <c r="C31" s="784">
        <f>ROUND(C4*F31/(1+'数据-取费表'!C42),0)</f>
        <v>0</v>
      </c>
      <c r="D31" s="785"/>
      <c r="E31" s="786"/>
      <c r="F31" s="787">
        <f>'数据-取费表'!B41</f>
        <v>5.6000000000000001E-2</v>
      </c>
      <c r="G31" s="788" t="s">
        <v>1647</v>
      </c>
      <c r="H31" s="789"/>
      <c r="I31" s="789"/>
      <c r="J31" s="789"/>
      <c r="K31" s="790"/>
    </row>
    <row r="32" spans="1:33" s="751" customFormat="1" ht="13.5" customHeight="1" thickBot="1">
      <c r="A32" s="449" t="s">
        <v>1648</v>
      </c>
      <c r="B32" s="779"/>
      <c r="C32" s="780">
        <f ca="1">ROUND((C4-C21-C22-C23-C25-C28-C31)/(1+C24+D25+D28),0)</f>
        <v>0</v>
      </c>
      <c r="D32" s="779"/>
      <c r="E32" s="779"/>
      <c r="F32" s="779"/>
      <c r="G32" s="781" t="s">
        <v>1649</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9" t="s">
        <v>694</v>
      </c>
      <c r="C6" s="1011">
        <f ca="1">ROUND(F6*F8*F7*(1-F9),0)</f>
        <v>0</v>
      </c>
      <c r="D6" s="147" t="s">
        <v>2105</v>
      </c>
      <c r="E6" s="294" t="s">
        <v>696</v>
      </c>
      <c r="F6" s="295">
        <f ca="1">INDIRECT("'数据-取费表'!u"&amp;$G$1)</f>
        <v>0</v>
      </c>
      <c r="G6" s="1291"/>
      <c r="H6" s="1006" t="s">
        <v>398</v>
      </c>
      <c r="I6" s="3439" t="s">
        <v>694</v>
      </c>
      <c r="J6" s="293">
        <f ca="1">ROUND(M6*M8*M7*(1-M9),0)</f>
        <v>0</v>
      </c>
      <c r="K6" s="1283" t="s">
        <v>2106</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0</v>
      </c>
      <c r="G7" s="1291"/>
      <c r="H7" s="296"/>
      <c r="I7" s="3440"/>
      <c r="J7" s="298"/>
      <c r="K7" s="299"/>
      <c r="L7" s="294" t="s">
        <v>697</v>
      </c>
      <c r="M7" s="295">
        <f ca="1">F7</f>
        <v>0</v>
      </c>
    </row>
    <row r="8" spans="1:37" ht="18" customHeight="1">
      <c r="A8" s="296"/>
      <c r="B8" s="3440"/>
      <c r="C8" s="298"/>
      <c r="D8" s="299"/>
      <c r="E8" s="294" t="s">
        <v>698</v>
      </c>
      <c r="F8" s="295">
        <f ca="1">INDIRECT("'数据-取费表'!ai"&amp;$G$1)</f>
        <v>0</v>
      </c>
      <c r="G8" s="1291"/>
      <c r="H8" s="296"/>
      <c r="I8" s="3440"/>
      <c r="J8" s="298"/>
      <c r="K8" s="299"/>
      <c r="L8" s="294" t="s">
        <v>698</v>
      </c>
      <c r="M8" s="295">
        <f ca="1">INDIRECT("'数据-取费表'!ai"&amp;$G$1)</f>
        <v>0</v>
      </c>
    </row>
    <row r="9" spans="1:37" ht="18" customHeight="1">
      <c r="A9" s="296"/>
      <c r="B9" s="3441"/>
      <c r="C9" s="298"/>
      <c r="D9" s="299"/>
      <c r="E9" s="294" t="s">
        <v>699</v>
      </c>
      <c r="F9" s="304">
        <f ca="1">INDIRECT("'数据-取费表'!w"&amp;$G$1)</f>
        <v>0</v>
      </c>
      <c r="G9" s="1291"/>
      <c r="H9" s="296"/>
      <c r="I9" s="344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2115</v>
      </c>
      <c r="E10" s="305" t="s">
        <v>701</v>
      </c>
      <c r="F10" s="1053"/>
      <c r="G10" s="1291"/>
      <c r="H10" s="1006" t="s">
        <v>402</v>
      </c>
      <c r="I10" s="1273" t="s">
        <v>700</v>
      </c>
      <c r="J10" s="293">
        <f ca="1">ROUND(IF(M10="押一",J6/12*M11,IF(M10="押二",J6/12*2*M11,IF(M10="押三",J6/12*3*M11,J11*M11))),0)</f>
        <v>0</v>
      </c>
      <c r="K10" s="1284" t="s">
        <v>2117</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0.03</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3326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ROUND(M20*M21,0)</f>
        <v>0</v>
      </c>
      <c r="K20" s="316" t="s">
        <v>731</v>
      </c>
      <c r="L20" s="294" t="s">
        <v>732</v>
      </c>
      <c r="M20" s="317">
        <f>'数据-取费表'!B52</f>
        <v>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5</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7" t="s">
        <v>3342</v>
      </c>
      <c r="B45" s="1306"/>
      <c r="C45" s="1375" t="e">
        <f ca="1">ROUND((C68-C40)/10000,4)</f>
        <v>#DIV/0!</v>
      </c>
      <c r="D45" s="3128"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2118</v>
      </c>
      <c r="E53" s="305" t="s">
        <v>701</v>
      </c>
      <c r="F53" s="1053"/>
      <c r="I53" s="1343" t="s">
        <v>836</v>
      </c>
      <c r="J53" s="2005">
        <f ca="1">IF(M47="住宅",IF(D1="——",MAX(J51,L48),MAX(J51,L48-'数据-取费表'!B24)),IF(D1="——",MIN(J51,L48),MIN(J51,L48-'数据-取费表'!B24)))</f>
        <v>0</v>
      </c>
      <c r="K53" s="3442" t="s">
        <v>837</v>
      </c>
      <c r="L53" s="3443"/>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3326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2425</v>
      </c>
      <c r="B1" s="2581"/>
      <c r="C1" s="2593"/>
      <c r="D1" s="2593"/>
      <c r="E1" s="2582"/>
      <c r="F1" s="2583"/>
      <c r="G1" s="2584"/>
      <c r="J1" s="2587" t="s">
        <v>2304</v>
      </c>
      <c r="K1" s="2588"/>
      <c r="L1" s="2588"/>
      <c r="M1" s="2588"/>
      <c r="N1" s="2588"/>
      <c r="O1" s="2588"/>
      <c r="P1" s="2588"/>
      <c r="Q1" s="2588"/>
      <c r="R1" s="2589"/>
      <c r="S1" s="2590"/>
      <c r="T1" s="2590"/>
      <c r="U1" s="2590"/>
    </row>
    <row r="2" spans="1:22" s="2602" customFormat="1" ht="13.15" customHeight="1">
      <c r="A2" s="1292" t="s">
        <v>2305</v>
      </c>
      <c r="B2" s="2592" t="e">
        <f>IF(D2="——",C40,C40+E2)</f>
        <v>#DIV/0!</v>
      </c>
      <c r="C2" s="2593" t="s">
        <v>2306</v>
      </c>
      <c r="D2" s="3136" t="s">
        <v>3349</v>
      </c>
      <c r="E2" s="3137"/>
      <c r="F2" s="2595"/>
      <c r="G2" s="2596"/>
      <c r="H2" s="2597"/>
      <c r="I2" s="2598"/>
      <c r="J2" s="3450" t="s">
        <v>2307</v>
      </c>
      <c r="K2" s="3451"/>
      <c r="L2" s="2599" t="s">
        <v>2308</v>
      </c>
      <c r="M2" s="2599" t="s">
        <v>2309</v>
      </c>
      <c r="N2" s="2599" t="s">
        <v>2310</v>
      </c>
      <c r="O2" s="2599" t="s">
        <v>2311</v>
      </c>
      <c r="P2" s="2599" t="s">
        <v>2312</v>
      </c>
      <c r="Q2" s="2600" t="s">
        <v>2313</v>
      </c>
      <c r="R2" s="2601" t="s">
        <v>2314</v>
      </c>
      <c r="S2" s="2590"/>
      <c r="T2" s="2590"/>
      <c r="U2" s="2590"/>
      <c r="V2" s="2598"/>
    </row>
    <row r="3" spans="1:22" s="2602" customFormat="1" ht="13.15" customHeight="1">
      <c r="A3" s="2603" t="s">
        <v>2315</v>
      </c>
      <c r="B3" s="2604" t="e">
        <f>ROUND(B2*10000/B4,0)</f>
        <v>#DIV/0!</v>
      </c>
      <c r="C3" s="2593" t="s">
        <v>2316</v>
      </c>
      <c r="D3" s="2593"/>
      <c r="E3" s="2594"/>
      <c r="F3" s="2595"/>
      <c r="G3" s="2596"/>
      <c r="H3" s="2597"/>
      <c r="I3" s="2598"/>
      <c r="J3" s="3452" t="s">
        <v>2317</v>
      </c>
      <c r="K3" s="3453"/>
      <c r="L3" s="2605"/>
      <c r="M3" s="2605"/>
      <c r="N3" s="2605"/>
      <c r="O3" s="2605"/>
      <c r="P3" s="2605"/>
      <c r="Q3" s="2606"/>
      <c r="R3" s="2607">
        <f>SUM(L3:Q3)</f>
        <v>0</v>
      </c>
      <c r="S3" s="2590"/>
      <c r="T3" s="2590"/>
      <c r="U3" s="2590"/>
      <c r="V3" s="2598"/>
    </row>
    <row r="4" spans="1:22" s="2602" customFormat="1" ht="13.15" customHeight="1">
      <c r="A4" s="2608" t="s">
        <v>2318</v>
      </c>
      <c r="B4" s="2609"/>
      <c r="C4" s="2593"/>
      <c r="D4" s="2593"/>
      <c r="E4" s="2594"/>
      <c r="F4" s="2595"/>
      <c r="G4" s="2596"/>
      <c r="H4" s="2597"/>
      <c r="I4" s="2598"/>
      <c r="J4" s="3452" t="s">
        <v>2319</v>
      </c>
      <c r="K4" s="3453"/>
      <c r="L4" s="2610"/>
      <c r="M4" s="2610"/>
      <c r="N4" s="2610"/>
      <c r="O4" s="2610"/>
      <c r="P4" s="2610"/>
      <c r="Q4" s="2611"/>
      <c r="R4" s="2612">
        <f>SUM(L4:Q4)</f>
        <v>0</v>
      </c>
      <c r="S4" s="2590"/>
      <c r="T4" s="2590"/>
      <c r="U4" s="2590"/>
      <c r="V4" s="2598"/>
    </row>
    <row r="5" spans="1:22" s="2602" customFormat="1" ht="13.15" customHeight="1" thickBot="1">
      <c r="A5" s="2613" t="s">
        <v>2320</v>
      </c>
      <c r="B5" s="2614"/>
      <c r="C5" s="2593"/>
      <c r="D5" s="2615"/>
      <c r="E5" s="2595"/>
      <c r="F5" s="2595"/>
      <c r="G5" s="2596"/>
      <c r="H5" s="2597"/>
      <c r="I5" s="2598"/>
      <c r="J5" s="2616" t="s">
        <v>2321</v>
      </c>
      <c r="K5" s="2617"/>
      <c r="L5" s="2617"/>
      <c r="M5" s="2618"/>
      <c r="N5" s="2618"/>
      <c r="O5" s="2618"/>
      <c r="P5" s="2618"/>
      <c r="Q5" s="2618"/>
      <c r="R5" s="2601">
        <f>SUM(R14,R19,R24,R25,R27,R28)</f>
        <v>0</v>
      </c>
      <c r="S5" s="2590"/>
      <c r="T5" s="2590" t="s">
        <v>2322</v>
      </c>
      <c r="U5" s="2590" t="e">
        <f>ROUND(R5*10000/365/R3,1)</f>
        <v>#DIV/0!</v>
      </c>
      <c r="V5" s="2598"/>
    </row>
    <row r="6" spans="1:22" s="2602" customFormat="1" ht="13.15" customHeight="1" thickBot="1">
      <c r="A6" s="3458" t="s">
        <v>2323</v>
      </c>
      <c r="B6" s="3459"/>
      <c r="C6" s="3460"/>
      <c r="D6" s="2619"/>
      <c r="E6" s="2620"/>
      <c r="F6" s="2621"/>
      <c r="G6" s="2622"/>
      <c r="H6" s="2597"/>
      <c r="I6" s="2598"/>
      <c r="J6" s="3444">
        <v>1</v>
      </c>
      <c r="K6" s="3445" t="s">
        <v>2324</v>
      </c>
      <c r="L6" s="2623" t="s">
        <v>2325</v>
      </c>
      <c r="M6" s="2624" t="s">
        <v>2326</v>
      </c>
      <c r="N6" s="2624" t="s">
        <v>2327</v>
      </c>
      <c r="O6" s="2624" t="s">
        <v>2328</v>
      </c>
      <c r="P6" s="2624" t="s">
        <v>2329</v>
      </c>
      <c r="Q6" s="2624" t="s">
        <v>2330</v>
      </c>
      <c r="R6" s="2607" t="s">
        <v>2331</v>
      </c>
      <c r="S6" s="2590"/>
      <c r="T6" s="2590" t="s">
        <v>2332</v>
      </c>
      <c r="U6" s="2590"/>
      <c r="V6" s="2598"/>
    </row>
    <row r="7" spans="1:22" s="2602" customFormat="1" ht="13.15" customHeight="1">
      <c r="A7" s="2625" t="s">
        <v>2333</v>
      </c>
      <c r="B7" s="2626"/>
      <c r="C7" s="2627"/>
      <c r="D7" s="2628">
        <f>SUM(D9,D10,D11,D17,0)</f>
        <v>0</v>
      </c>
      <c r="E7" s="2629" t="e">
        <f>E9+E10+E11+E17</f>
        <v>#DIV/0!</v>
      </c>
      <c r="F7" s="2630"/>
      <c r="G7" s="2631"/>
      <c r="H7" s="2597"/>
      <c r="I7" s="2598"/>
      <c r="J7" s="3444"/>
      <c r="K7" s="3446"/>
      <c r="L7" s="2632" t="s">
        <v>2334</v>
      </c>
      <c r="M7" s="2633"/>
      <c r="N7" s="2609"/>
      <c r="O7" s="2634"/>
      <c r="P7" s="2634"/>
      <c r="Q7" s="2635">
        <v>365</v>
      </c>
      <c r="R7" s="2636">
        <f>ROUND(M7*N7*O7*P7*Q7/10000,0)</f>
        <v>0</v>
      </c>
      <c r="S7" s="2590"/>
      <c r="T7" s="2590" t="s">
        <v>2335</v>
      </c>
      <c r="U7" s="2590"/>
      <c r="V7" s="2598"/>
    </row>
    <row r="8" spans="1:22" s="2602" customFormat="1" ht="13.15" customHeight="1">
      <c r="A8" s="2637" t="s">
        <v>2336</v>
      </c>
      <c r="B8" s="3461" t="s">
        <v>2337</v>
      </c>
      <c r="C8" s="3462"/>
      <c r="D8" s="2638" t="s">
        <v>2338</v>
      </c>
      <c r="E8" s="2639" t="s">
        <v>2339</v>
      </c>
      <c r="F8" s="2640" t="s">
        <v>2340</v>
      </c>
      <c r="G8" s="2641"/>
      <c r="H8" s="2597"/>
      <c r="I8" s="2598"/>
      <c r="J8" s="3444"/>
      <c r="K8" s="3446"/>
      <c r="L8" s="2632" t="s">
        <v>2341</v>
      </c>
      <c r="M8" s="2633"/>
      <c r="N8" s="2609"/>
      <c r="O8" s="2634"/>
      <c r="P8" s="2634"/>
      <c r="Q8" s="2635">
        <v>365</v>
      </c>
      <c r="R8" s="2636">
        <f t="shared" ref="R8:R13" si="0">ROUND(M8*N8*O8*P8*Q8/10000,0)</f>
        <v>0</v>
      </c>
      <c r="S8" s="2590"/>
      <c r="T8" s="2590" t="s">
        <v>2342</v>
      </c>
      <c r="U8" s="2590"/>
      <c r="V8" s="2598"/>
    </row>
    <row r="9" spans="1:22" s="2602" customFormat="1" ht="13.15" customHeight="1">
      <c r="A9" s="2637">
        <v>1</v>
      </c>
      <c r="B9" s="3461" t="s">
        <v>2343</v>
      </c>
      <c r="C9" s="3462"/>
      <c r="D9" s="2638">
        <f>ROUND(D6*E9,0)</f>
        <v>0</v>
      </c>
      <c r="E9" s="2642"/>
      <c r="F9" s="2643" t="s">
        <v>2344</v>
      </c>
      <c r="G9" s="2622"/>
      <c r="H9" s="2597"/>
      <c r="I9" s="2598"/>
      <c r="J9" s="3444"/>
      <c r="K9" s="3446"/>
      <c r="L9" s="2632" t="s">
        <v>2345</v>
      </c>
      <c r="M9" s="2633"/>
      <c r="N9" s="2609"/>
      <c r="O9" s="2634"/>
      <c r="P9" s="2634"/>
      <c r="Q9" s="2635">
        <v>365</v>
      </c>
      <c r="R9" s="2636">
        <f t="shared" si="0"/>
        <v>0</v>
      </c>
      <c r="S9" s="2590"/>
      <c r="T9" s="2590"/>
      <c r="U9" s="2590"/>
      <c r="V9" s="2598"/>
    </row>
    <row r="10" spans="1:22" s="2602" customFormat="1" ht="13.15" customHeight="1">
      <c r="A10" s="2637">
        <v>2</v>
      </c>
      <c r="B10" s="3461" t="s">
        <v>2346</v>
      </c>
      <c r="C10" s="3462"/>
      <c r="D10" s="2638">
        <f>ROUND(D6*E10,0)</f>
        <v>0</v>
      </c>
      <c r="E10" s="2642"/>
      <c r="F10" s="2643" t="s">
        <v>2347</v>
      </c>
      <c r="G10" s="2622"/>
      <c r="H10" s="2597"/>
      <c r="I10" s="2598"/>
      <c r="J10" s="3444"/>
      <c r="K10" s="3446"/>
      <c r="L10" s="2632" t="s">
        <v>2348</v>
      </c>
      <c r="M10" s="2633"/>
      <c r="N10" s="2609"/>
      <c r="O10" s="2634"/>
      <c r="P10" s="2634"/>
      <c r="Q10" s="2635">
        <v>365</v>
      </c>
      <c r="R10" s="2636">
        <f t="shared" si="0"/>
        <v>0</v>
      </c>
      <c r="S10" s="2590"/>
      <c r="T10" s="2590"/>
      <c r="U10" s="2590"/>
      <c r="V10" s="2598"/>
    </row>
    <row r="11" spans="1:22" s="2602" customFormat="1" ht="13.15" customHeight="1">
      <c r="A11" s="2637">
        <v>3</v>
      </c>
      <c r="B11" s="3461" t="s">
        <v>2349</v>
      </c>
      <c r="C11" s="3462"/>
      <c r="D11" s="2638">
        <f>D12+D14+D15+D16</f>
        <v>0</v>
      </c>
      <c r="E11" s="2644" t="e">
        <f>D11/D6</f>
        <v>#DIV/0!</v>
      </c>
      <c r="F11" s="2640"/>
      <c r="G11" s="2641"/>
      <c r="H11" s="2597"/>
      <c r="I11" s="2598"/>
      <c r="J11" s="3444"/>
      <c r="K11" s="3446"/>
      <c r="L11" s="2632" t="s">
        <v>2350</v>
      </c>
      <c r="M11" s="2633"/>
      <c r="N11" s="2609"/>
      <c r="O11" s="2634"/>
      <c r="P11" s="2634"/>
      <c r="Q11" s="2635">
        <v>365</v>
      </c>
      <c r="R11" s="2636">
        <f t="shared" si="0"/>
        <v>0</v>
      </c>
      <c r="S11" s="2590"/>
      <c r="T11" s="2590"/>
      <c r="U11" s="2590"/>
      <c r="V11" s="2598"/>
    </row>
    <row r="12" spans="1:22" s="2602" customFormat="1" ht="13.15" customHeight="1">
      <c r="A12" s="2645" t="s">
        <v>2351</v>
      </c>
      <c r="B12" s="3454" t="s">
        <v>2352</v>
      </c>
      <c r="C12" s="3455"/>
      <c r="D12" s="2646">
        <f>ROUND(D13*1.2%*(1-30%),0)</f>
        <v>0</v>
      </c>
      <c r="E12" s="2647">
        <v>1.2E-2</v>
      </c>
      <c r="F12" s="2640" t="s">
        <v>2353</v>
      </c>
      <c r="G12" s="2641"/>
      <c r="H12" s="2597"/>
      <c r="I12" s="2598"/>
      <c r="J12" s="3444"/>
      <c r="K12" s="3446"/>
      <c r="L12" s="2632" t="s">
        <v>2354</v>
      </c>
      <c r="M12" s="2633"/>
      <c r="N12" s="2609"/>
      <c r="O12" s="2634"/>
      <c r="P12" s="2634"/>
      <c r="Q12" s="2635">
        <v>365</v>
      </c>
      <c r="R12" s="2636">
        <f t="shared" si="0"/>
        <v>0</v>
      </c>
      <c r="S12" s="2590"/>
      <c r="T12" s="2590"/>
      <c r="U12" s="2590"/>
      <c r="V12" s="2598"/>
    </row>
    <row r="13" spans="1:22" s="2602" customFormat="1" ht="13.15" customHeight="1">
      <c r="A13" s="2645"/>
      <c r="B13" s="2648"/>
      <c r="C13" s="2649" t="s">
        <v>2355</v>
      </c>
      <c r="D13" s="2650"/>
      <c r="E13" s="2651"/>
      <c r="F13" s="2640"/>
      <c r="G13" s="2641"/>
      <c r="H13" s="2597"/>
      <c r="I13" s="2598"/>
      <c r="J13" s="3444"/>
      <c r="K13" s="3446"/>
      <c r="L13" s="2632" t="s">
        <v>2356</v>
      </c>
      <c r="M13" s="2633"/>
      <c r="N13" s="2609"/>
      <c r="O13" s="2634"/>
      <c r="P13" s="2634"/>
      <c r="Q13" s="2635">
        <v>365</v>
      </c>
      <c r="R13" s="2636">
        <f t="shared" si="0"/>
        <v>0</v>
      </c>
      <c r="S13" s="2590"/>
      <c r="T13" s="2590"/>
      <c r="U13" s="2590"/>
      <c r="V13" s="2598"/>
    </row>
    <row r="14" spans="1:22" s="2602" customFormat="1" ht="13.15" customHeight="1">
      <c r="A14" s="2645" t="s">
        <v>2357</v>
      </c>
      <c r="B14" s="3454" t="s">
        <v>2358</v>
      </c>
      <c r="C14" s="3455"/>
      <c r="D14" s="2646">
        <f>ROUND(E14*B5/10000,0)</f>
        <v>0</v>
      </c>
      <c r="E14" s="2635"/>
      <c r="F14" s="2640" t="s">
        <v>2359</v>
      </c>
      <c r="G14" s="2641"/>
      <c r="H14" s="2597"/>
      <c r="I14" s="2598"/>
      <c r="J14" s="3444"/>
      <c r="K14" s="3447"/>
      <c r="L14" s="2652" t="s">
        <v>2360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2361</v>
      </c>
      <c r="B15" s="3454" t="s">
        <v>2362</v>
      </c>
      <c r="C15" s="3455"/>
      <c r="D15" s="2646">
        <f>ROUND(D6*E15,0)</f>
        <v>0</v>
      </c>
      <c r="E15" s="2647">
        <v>5.5E-2</v>
      </c>
      <c r="F15" s="2640" t="s">
        <v>2363</v>
      </c>
      <c r="G15" s="2622"/>
      <c r="H15" s="2597"/>
      <c r="I15" s="2598"/>
      <c r="J15" s="3444">
        <v>2</v>
      </c>
      <c r="K15" s="3445" t="s">
        <v>2364</v>
      </c>
      <c r="L15" s="2632" t="s">
        <v>2365</v>
      </c>
      <c r="M15" s="2633" t="s">
        <v>2366</v>
      </c>
      <c r="N15" s="2633" t="s">
        <v>2367</v>
      </c>
      <c r="O15" s="2634" t="s">
        <v>2368</v>
      </c>
      <c r="P15" s="2634" t="s">
        <v>2330</v>
      </c>
      <c r="Q15" s="2609" t="s">
        <v>2369</v>
      </c>
      <c r="R15" s="2656" t="s">
        <v>2331</v>
      </c>
      <c r="S15" s="2590"/>
      <c r="T15" s="2590"/>
      <c r="U15" s="2590"/>
      <c r="V15" s="2598"/>
    </row>
    <row r="16" spans="1:22" s="2602" customFormat="1" ht="13.15" customHeight="1">
      <c r="A16" s="2645" t="s">
        <v>2370</v>
      </c>
      <c r="B16" s="3454" t="s">
        <v>2371</v>
      </c>
      <c r="C16" s="3455"/>
      <c r="D16" s="2657">
        <f>D6*E16</f>
        <v>0</v>
      </c>
      <c r="E16" s="2658"/>
      <c r="F16" s="2643" t="s">
        <v>2372</v>
      </c>
      <c r="G16" s="2622"/>
      <c r="H16" s="2597"/>
      <c r="I16" s="2598"/>
      <c r="J16" s="3444"/>
      <c r="K16" s="3446"/>
      <c r="L16" s="2632" t="s">
        <v>2373</v>
      </c>
      <c r="M16" s="2633"/>
      <c r="N16" s="2633"/>
      <c r="O16" s="2634"/>
      <c r="P16" s="2635">
        <v>365</v>
      </c>
      <c r="Q16" s="2609"/>
      <c r="R16" s="2656">
        <f>ROUND(M16*N16*O16*P16/10000,0)</f>
        <v>0</v>
      </c>
      <c r="S16" s="2590"/>
      <c r="T16" s="2590"/>
      <c r="U16" s="2590"/>
      <c r="V16" s="2598"/>
    </row>
    <row r="17" spans="1:22" s="2602" customFormat="1" ht="13.15" customHeight="1" thickBot="1">
      <c r="A17" s="2659">
        <v>4</v>
      </c>
      <c r="B17" s="3456" t="s">
        <v>2374</v>
      </c>
      <c r="C17" s="3457"/>
      <c r="D17" s="2660">
        <f>ROUND(D6*E17,0)</f>
        <v>0</v>
      </c>
      <c r="E17" s="2661"/>
      <c r="F17" s="2662" t="s">
        <v>2375</v>
      </c>
      <c r="G17" s="2622"/>
      <c r="H17" s="2597"/>
      <c r="I17" s="2598"/>
      <c r="J17" s="3444"/>
      <c r="K17" s="3446"/>
      <c r="L17" s="2632" t="s">
        <v>2376</v>
      </c>
      <c r="M17" s="2633"/>
      <c r="N17" s="2633"/>
      <c r="O17" s="2634"/>
      <c r="P17" s="2635">
        <v>365</v>
      </c>
      <c r="Q17" s="2609"/>
      <c r="R17" s="2656">
        <f>ROUND(M17*N17*O17*P17/10000,0)</f>
        <v>0</v>
      </c>
      <c r="S17" s="2590"/>
      <c r="T17" s="2590"/>
      <c r="U17" s="2590"/>
      <c r="V17" s="2598"/>
    </row>
    <row r="18" spans="1:22" s="2602" customFormat="1" ht="13.15" customHeight="1" thickBot="1">
      <c r="A18" s="2625" t="s">
        <v>2377</v>
      </c>
      <c r="B18" s="2626"/>
      <c r="C18" s="2626"/>
      <c r="D18" s="2663">
        <f>ROUND(D6*E18,0)</f>
        <v>0</v>
      </c>
      <c r="E18" s="2664"/>
      <c r="F18" s="2665" t="s">
        <v>2378</v>
      </c>
      <c r="G18" s="2622"/>
      <c r="H18" s="2597"/>
      <c r="I18" s="2598"/>
      <c r="J18" s="3444"/>
      <c r="K18" s="3446"/>
      <c r="L18" s="2632" t="s">
        <v>2379</v>
      </c>
      <c r="M18" s="2633"/>
      <c r="N18" s="2633"/>
      <c r="O18" s="2634"/>
      <c r="P18" s="2635">
        <v>365</v>
      </c>
      <c r="Q18" s="2609"/>
      <c r="R18" s="2656">
        <f>ROUND(M18*N18*O18*P18/10000,0)</f>
        <v>0</v>
      </c>
      <c r="S18" s="2590"/>
      <c r="T18" s="2590"/>
      <c r="U18" s="2590"/>
      <c r="V18" s="2598"/>
    </row>
    <row r="19" spans="1:22" s="2602" customFormat="1" ht="13.15" customHeight="1" thickBot="1">
      <c r="A19" s="2666" t="s">
        <v>2380</v>
      </c>
      <c r="B19" s="2620"/>
      <c r="C19" s="2620"/>
      <c r="D19" s="2620"/>
      <c r="E19" s="2620"/>
      <c r="F19" s="2621"/>
      <c r="G19" s="2641"/>
      <c r="H19" s="2597"/>
      <c r="I19" s="2598"/>
      <c r="J19" s="3444"/>
      <c r="K19" s="3447"/>
      <c r="L19" s="2652" t="s">
        <v>2360</v>
      </c>
      <c r="M19" s="2653"/>
      <c r="N19" s="2653">
        <f>SUM(N16:N18)</f>
        <v>0</v>
      </c>
      <c r="O19" s="2654"/>
      <c r="P19" s="2667" t="s">
        <v>2424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4">
        <v>3</v>
      </c>
      <c r="K20" s="3445" t="s">
        <v>2381</v>
      </c>
      <c r="L20" s="2632" t="s">
        <v>2382</v>
      </c>
      <c r="M20" s="2633" t="s">
        <v>2383</v>
      </c>
      <c r="N20" s="2670" t="s">
        <v>2384</v>
      </c>
      <c r="O20" s="2634" t="s">
        <v>2385</v>
      </c>
      <c r="P20" s="2635" t="s">
        <v>2386</v>
      </c>
      <c r="Q20" s="2609" t="s">
        <v>2387</v>
      </c>
      <c r="R20" s="2656" t="s">
        <v>2388</v>
      </c>
      <c r="S20" s="2590"/>
      <c r="T20" s="2590"/>
      <c r="U20" s="2590"/>
      <c r="V20" s="2598"/>
    </row>
    <row r="21" spans="1:22" s="2602" customFormat="1" ht="13.15" customHeight="1">
      <c r="A21" s="2625"/>
      <c r="B21" s="2626"/>
      <c r="C21" s="2671" t="s">
        <v>2389</v>
      </c>
      <c r="D21" s="2672" t="s">
        <v>2390</v>
      </c>
      <c r="E21" s="2673" t="s">
        <v>2391</v>
      </c>
      <c r="F21" s="2669"/>
      <c r="G21" s="2641"/>
      <c r="H21" s="2597"/>
      <c r="I21" s="2598"/>
      <c r="J21" s="3444"/>
      <c r="K21" s="3446"/>
      <c r="L21" s="2632" t="s">
        <v>2392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2393</v>
      </c>
      <c r="D22" s="2676" t="s">
        <v>2394</v>
      </c>
      <c r="E22" s="2677" t="s">
        <v>2395</v>
      </c>
      <c r="F22" s="2669"/>
      <c r="G22" s="2590"/>
      <c r="H22" s="2597"/>
      <c r="I22" s="2598"/>
      <c r="J22" s="3444"/>
      <c r="K22" s="3446"/>
      <c r="L22" s="2632" t="s">
        <v>2396</v>
      </c>
      <c r="M22" s="2633"/>
      <c r="N22" s="2633"/>
      <c r="O22" s="2634"/>
      <c r="P22" s="2635">
        <v>365</v>
      </c>
      <c r="Q22" s="2609"/>
      <c r="R22" s="2674">
        <f>ROUND(M22*N22*O22*P22/10000,0)</f>
        <v>0</v>
      </c>
      <c r="S22" s="2590"/>
      <c r="T22" s="2590"/>
      <c r="U22" s="2590"/>
      <c r="V22" s="2598"/>
    </row>
    <row r="23" spans="1:22" s="2602" customFormat="1" ht="13.15" customHeight="1">
      <c r="A23" s="2678">
        <v>1</v>
      </c>
      <c r="B23" s="2679" t="s">
        <v>2397</v>
      </c>
      <c r="C23" s="2680">
        <f>D6</f>
        <v>0</v>
      </c>
      <c r="D23" s="2681">
        <f>C23*(1+D24)</f>
        <v>0</v>
      </c>
      <c r="E23" s="2682">
        <f>D23*(1+E24)</f>
        <v>0</v>
      </c>
      <c r="F23" s="2683"/>
      <c r="G23" s="2684"/>
      <c r="H23" s="2597"/>
      <c r="I23" s="2598"/>
      <c r="J23" s="3444"/>
      <c r="K23" s="3446"/>
      <c r="L23" s="2632" t="s">
        <v>2398</v>
      </c>
      <c r="M23" s="2633"/>
      <c r="N23" s="2633"/>
      <c r="O23" s="2634"/>
      <c r="P23" s="2635">
        <v>365</v>
      </c>
      <c r="Q23" s="2609"/>
      <c r="R23" s="2674">
        <f>ROUND(M23*N23*O23*P23/10000,0)</f>
        <v>0</v>
      </c>
      <c r="S23" s="2590"/>
      <c r="T23" s="2590"/>
      <c r="U23" s="2590"/>
      <c r="V23" s="2598"/>
    </row>
    <row r="24" spans="1:22" s="2602" customFormat="1" ht="13.15" customHeight="1">
      <c r="A24" s="2685"/>
      <c r="B24" s="2686" t="s">
        <v>2399</v>
      </c>
      <c r="C24" s="2687"/>
      <c r="D24" s="2688"/>
      <c r="E24" s="2689"/>
      <c r="F24" s="2690"/>
      <c r="G24" s="2684"/>
      <c r="H24" s="2597"/>
      <c r="I24" s="2598"/>
      <c r="J24" s="3444"/>
      <c r="K24" s="3447"/>
      <c r="L24" s="2652" t="s">
        <v>2360</v>
      </c>
      <c r="M24" s="2653">
        <f>SUM(M21:M23)</f>
        <v>0</v>
      </c>
      <c r="N24" s="2653"/>
      <c r="O24" s="2654"/>
      <c r="P24" s="2667" t="s">
        <v>2424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2400</v>
      </c>
      <c r="L25" s="2693"/>
      <c r="M25" s="2693"/>
      <c r="N25" s="2693"/>
      <c r="O25" s="2693"/>
      <c r="P25" s="2694"/>
      <c r="Q25" s="2695">
        <v>0</v>
      </c>
      <c r="R25" s="2668">
        <f>ROUND(R14*Q25,0)</f>
        <v>0</v>
      </c>
      <c r="S25" s="2590"/>
      <c r="T25" s="2590"/>
      <c r="U25" s="2590"/>
      <c r="V25" s="2696"/>
    </row>
    <row r="26" spans="1:22" s="2697" customFormat="1" ht="13.15" customHeight="1">
      <c r="A26" s="2678">
        <v>2</v>
      </c>
      <c r="B26" s="2679" t="s">
        <v>2401</v>
      </c>
      <c r="C26" s="2680">
        <f>D7</f>
        <v>0</v>
      </c>
      <c r="D26" s="2681">
        <f>D23*D27</f>
        <v>0</v>
      </c>
      <c r="E26" s="2682">
        <f>E23*E27</f>
        <v>0</v>
      </c>
      <c r="F26" s="2683"/>
      <c r="G26" s="2684"/>
      <c r="H26" s="2597"/>
      <c r="I26" s="2598"/>
      <c r="J26" s="3448">
        <v>5</v>
      </c>
      <c r="K26" s="2698" t="s">
        <v>2402</v>
      </c>
      <c r="L26" s="2699"/>
      <c r="M26" s="2700"/>
      <c r="N26" s="2701" t="s">
        <v>2403</v>
      </c>
      <c r="O26" s="2701" t="s">
        <v>2404</v>
      </c>
      <c r="P26" s="2702" t="s">
        <v>2405</v>
      </c>
      <c r="Q26" s="2702" t="s">
        <v>2406</v>
      </c>
      <c r="R26" s="2607" t="s">
        <v>2331</v>
      </c>
      <c r="S26" s="2641"/>
      <c r="T26" s="2641"/>
      <c r="U26" s="2641"/>
      <c r="V26" s="2696"/>
    </row>
    <row r="27" spans="1:22" s="2602" customFormat="1" ht="13.15" customHeight="1">
      <c r="A27" s="2685"/>
      <c r="B27" s="2686" t="s">
        <v>2407</v>
      </c>
      <c r="C27" s="2703" t="e">
        <f>E7</f>
        <v>#DIV/0!</v>
      </c>
      <c r="D27" s="2688"/>
      <c r="E27" s="2689"/>
      <c r="F27" s="2690"/>
      <c r="G27" s="2684"/>
      <c r="H27" s="2704"/>
      <c r="I27" s="2696"/>
      <c r="J27" s="344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2408</v>
      </c>
      <c r="F28" s="2690"/>
      <c r="G28" s="2590"/>
      <c r="H28" s="2704"/>
      <c r="I28" s="2696"/>
      <c r="J28" s="2710">
        <v>6</v>
      </c>
      <c r="K28" s="2711" t="s">
        <v>2409</v>
      </c>
      <c r="L28" s="2712" t="s">
        <v>2410</v>
      </c>
      <c r="M28" s="2713"/>
      <c r="N28" s="2712" t="s">
        <v>2411</v>
      </c>
      <c r="O28" s="2714"/>
      <c r="P28" s="2712" t="s">
        <v>2412</v>
      </c>
      <c r="Q28" s="2715">
        <v>1.4999999999999999E-2</v>
      </c>
      <c r="R28" s="2716"/>
      <c r="S28" s="2590"/>
      <c r="T28" s="2590"/>
      <c r="U28" s="2590"/>
      <c r="V28" s="2696"/>
    </row>
    <row r="29" spans="1:22" s="2697" customFormat="1" ht="13.15" customHeight="1">
      <c r="A29" s="2678">
        <v>3</v>
      </c>
      <c r="B29" s="2679" t="s">
        <v>2413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2414</v>
      </c>
      <c r="K31" s="2588"/>
      <c r="L31" s="2588"/>
      <c r="M31" s="2588"/>
      <c r="N31" s="2588"/>
      <c r="O31" s="2588"/>
      <c r="P31" s="2588"/>
      <c r="Q31" s="2588"/>
      <c r="R31" s="2589"/>
      <c r="S31" s="2590"/>
      <c r="T31" s="2590"/>
      <c r="U31" s="2590"/>
      <c r="V31" s="2696"/>
    </row>
    <row r="32" spans="1:22" s="2697" customFormat="1" ht="13.15" customHeight="1">
      <c r="A32" s="2678">
        <v>4</v>
      </c>
      <c r="B32" s="2679" t="s">
        <v>2415</v>
      </c>
      <c r="C32" s="2680">
        <f>C23-C26-C29</f>
        <v>0</v>
      </c>
      <c r="D32" s="2681">
        <f>D23-D26-D29</f>
        <v>0</v>
      </c>
      <c r="E32" s="2682">
        <f>E23-E26-E29</f>
        <v>0</v>
      </c>
      <c r="F32" s="2683"/>
      <c r="G32" s="2590"/>
      <c r="H32" s="2597"/>
      <c r="I32" s="2598"/>
      <c r="J32" s="3450" t="s">
        <v>2307</v>
      </c>
      <c r="K32" s="3451"/>
      <c r="L32" s="2599" t="s">
        <v>2308</v>
      </c>
      <c r="M32" s="2599" t="s">
        <v>2309</v>
      </c>
      <c r="N32" s="2599" t="s">
        <v>2310</v>
      </c>
      <c r="O32" s="2599" t="s">
        <v>2311</v>
      </c>
      <c r="P32" s="2599" t="s">
        <v>2312</v>
      </c>
      <c r="Q32" s="2600" t="s">
        <v>2313</v>
      </c>
      <c r="R32" s="2719" t="s">
        <v>2314</v>
      </c>
      <c r="S32" s="2590"/>
      <c r="T32" s="2590"/>
      <c r="U32" s="2590"/>
      <c r="V32" s="2696"/>
    </row>
    <row r="33" spans="1:23" s="2602" customFormat="1" ht="13.15" customHeight="1">
      <c r="A33" s="2678"/>
      <c r="B33" s="2679"/>
      <c r="C33" s="2680"/>
      <c r="D33" s="2720"/>
      <c r="E33" s="2721"/>
      <c r="F33" s="2683"/>
      <c r="G33" s="2590"/>
      <c r="H33" s="2704"/>
      <c r="I33" s="2696"/>
      <c r="J33" s="3452" t="s">
        <v>2317</v>
      </c>
      <c r="K33" s="3453"/>
      <c r="L33" s="2605"/>
      <c r="M33" s="2605"/>
      <c r="N33" s="2605"/>
      <c r="O33" s="2605"/>
      <c r="P33" s="2605"/>
      <c r="Q33" s="2606"/>
      <c r="R33" s="2722">
        <f>SUM(L33:Q33)</f>
        <v>0</v>
      </c>
      <c r="S33" s="2590"/>
      <c r="T33" s="2590"/>
      <c r="U33" s="2590"/>
      <c r="V33" s="2598"/>
    </row>
    <row r="34" spans="1:23" s="2602" customFormat="1" ht="13.15" customHeight="1">
      <c r="A34" s="2678">
        <v>5</v>
      </c>
      <c r="B34" s="2679" t="s">
        <v>2416</v>
      </c>
      <c r="C34" s="2723"/>
      <c r="D34" s="2724"/>
      <c r="E34" s="2725"/>
      <c r="F34" s="2683"/>
      <c r="G34" s="2590"/>
      <c r="H34" s="2704"/>
      <c r="I34" s="2696"/>
      <c r="J34" s="3452" t="s">
        <v>2319</v>
      </c>
      <c r="K34" s="345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2417</v>
      </c>
      <c r="C35" s="2727"/>
      <c r="D35" s="2728"/>
      <c r="E35" s="2729"/>
      <c r="F35" s="2683"/>
      <c r="G35" s="2730"/>
      <c r="H35" s="2597"/>
      <c r="I35" s="2696"/>
      <c r="J35" s="2616" t="s">
        <v>2321</v>
      </c>
      <c r="K35" s="2617"/>
      <c r="L35" s="2617"/>
      <c r="M35" s="2618"/>
      <c r="N35" s="2618"/>
      <c r="O35" s="2618"/>
      <c r="P35" s="2618"/>
      <c r="Q35" s="2618"/>
      <c r="R35" s="2731">
        <f>R40+R41+R43</f>
        <v>0</v>
      </c>
      <c r="S35" s="2590"/>
      <c r="T35" s="2590" t="s">
        <v>2322</v>
      </c>
      <c r="U35" s="2590"/>
      <c r="V35" s="2598"/>
    </row>
    <row r="36" spans="1:23" s="2602" customFormat="1" ht="13.15" customHeight="1" thickBot="1">
      <c r="A36" s="2678">
        <v>7</v>
      </c>
      <c r="B36" s="2732" t="s">
        <v>2418</v>
      </c>
      <c r="C36" s="2733"/>
      <c r="D36" s="2734"/>
      <c r="E36" s="2735"/>
      <c r="F36" s="2736">
        <f>C36+D36+E36</f>
        <v>0</v>
      </c>
      <c r="G36" s="2590"/>
      <c r="H36" s="2597"/>
      <c r="I36" s="2598"/>
      <c r="J36" s="3444">
        <v>1</v>
      </c>
      <c r="K36" s="3445" t="s">
        <v>2419</v>
      </c>
      <c r="L36" s="2623"/>
      <c r="M36" s="2624"/>
      <c r="N36" s="2624"/>
      <c r="O36" s="2624"/>
      <c r="P36" s="2624"/>
      <c r="Q36" s="2624"/>
      <c r="R36" s="2607" t="s">
        <v>2331</v>
      </c>
      <c r="S36" s="2590"/>
      <c r="T36" s="2590" t="s">
        <v>2332</v>
      </c>
      <c r="U36" s="2590"/>
      <c r="V36" s="2598"/>
    </row>
    <row r="37" spans="1:23" s="2602" customFormat="1" ht="13.15" customHeight="1">
      <c r="A37" s="2678"/>
      <c r="B37" s="2679"/>
      <c r="C37" s="2679"/>
      <c r="D37" s="2679"/>
      <c r="E37" s="2679"/>
      <c r="F37" s="2683"/>
      <c r="G37" s="2590"/>
      <c r="H37" s="2597"/>
      <c r="I37" s="2598"/>
      <c r="J37" s="3444"/>
      <c r="K37" s="3446"/>
      <c r="L37" s="2632"/>
      <c r="M37" s="2633"/>
      <c r="N37" s="2609"/>
      <c r="O37" s="2634"/>
      <c r="P37" s="2634"/>
      <c r="Q37" s="2635"/>
      <c r="R37" s="2636"/>
      <c r="S37" s="2590"/>
      <c r="T37" s="2590" t="s">
        <v>2335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4"/>
      <c r="K38" s="3446"/>
      <c r="L38" s="2632"/>
      <c r="M38" s="2633"/>
      <c r="N38" s="2609"/>
      <c r="O38" s="2634"/>
      <c r="P38" s="2634"/>
      <c r="Q38" s="2635"/>
      <c r="R38" s="2636"/>
      <c r="S38" s="2590"/>
      <c r="T38" s="2590" t="s">
        <v>2342</v>
      </c>
      <c r="U38" s="2590"/>
      <c r="V38" s="2598"/>
    </row>
    <row r="39" spans="1:23" s="2602" customFormat="1" ht="13.15" customHeight="1">
      <c r="A39" s="2678">
        <v>9</v>
      </c>
      <c r="B39" s="2679" t="s">
        <v>2420</v>
      </c>
      <c r="C39" s="2646" t="e">
        <f>C38</f>
        <v>#DIV/0!</v>
      </c>
      <c r="D39" s="2679">
        <f>D38/(1+D34)^C36</f>
        <v>0</v>
      </c>
      <c r="E39" s="2679">
        <f>E38/(1+E34)^(C36+D36)</f>
        <v>0</v>
      </c>
      <c r="F39" s="2683"/>
      <c r="G39" s="2598"/>
      <c r="H39" s="2597"/>
      <c r="I39" s="2598"/>
      <c r="J39" s="3444"/>
      <c r="K39" s="3446"/>
      <c r="L39" s="2632"/>
      <c r="M39" s="2633"/>
      <c r="N39" s="2609"/>
      <c r="O39" s="2634"/>
      <c r="P39" s="2634"/>
      <c r="Q39" s="2635"/>
      <c r="R39" s="2636"/>
      <c r="S39" s="2590"/>
      <c r="T39" s="2590"/>
      <c r="U39" s="2590"/>
      <c r="V39" s="2598"/>
    </row>
    <row r="40" spans="1:23" s="2602" customFormat="1" ht="13.15" customHeight="1">
      <c r="A40" s="2737">
        <v>10</v>
      </c>
      <c r="B40" s="2679" t="s">
        <v>2421</v>
      </c>
      <c r="C40" s="2738" t="e">
        <f>C39+D39+E39</f>
        <v>#DIV/0!</v>
      </c>
      <c r="D40" s="2739"/>
      <c r="E40" s="2739"/>
      <c r="F40" s="2740"/>
      <c r="G40" s="2590"/>
      <c r="H40" s="2597"/>
      <c r="I40" s="2598"/>
      <c r="J40" s="3444"/>
      <c r="K40" s="3447"/>
      <c r="L40" s="2652" t="s">
        <v>2360</v>
      </c>
      <c r="M40" s="2653"/>
      <c r="N40" s="2653"/>
      <c r="O40" s="2654"/>
      <c r="P40" s="2654"/>
      <c r="Q40" s="2655"/>
      <c r="R40" s="2601">
        <f>SUM(R37:R39)</f>
        <v>0</v>
      </c>
      <c r="S40" s="2590"/>
      <c r="T40" s="2590"/>
      <c r="U40" s="2590"/>
      <c r="V40" s="2598"/>
    </row>
    <row r="41" spans="1:23" s="2602" customFormat="1" ht="13.15" customHeight="1" thickBot="1">
      <c r="A41" s="2741">
        <v>11</v>
      </c>
      <c r="B41" s="2742" t="s">
        <v>2422</v>
      </c>
      <c r="C41" s="2742" t="e">
        <f>ROUND(C40*10000/B4,0)</f>
        <v>#DIV/0!</v>
      </c>
      <c r="D41" s="2743"/>
      <c r="E41" s="2743"/>
      <c r="F41" s="2744"/>
      <c r="G41" s="2597"/>
      <c r="H41" s="2597"/>
      <c r="I41" s="2598"/>
      <c r="J41" s="2691">
        <v>2</v>
      </c>
      <c r="K41" s="2692" t="s">
        <v>2400</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8">
        <v>3</v>
      </c>
      <c r="K42" s="2698" t="s">
        <v>2402</v>
      </c>
      <c r="L42" s="2699"/>
      <c r="M42" s="2700"/>
      <c r="N42" s="2701" t="s">
        <v>2403</v>
      </c>
      <c r="O42" s="2701" t="s">
        <v>2404</v>
      </c>
      <c r="P42" s="2702" t="s">
        <v>2405</v>
      </c>
      <c r="Q42" s="2702" t="s">
        <v>2406</v>
      </c>
      <c r="R42" s="2607" t="s">
        <v>2331</v>
      </c>
      <c r="S42" s="2641"/>
      <c r="T42" s="2641"/>
      <c r="U42" s="2590"/>
      <c r="V42" s="2598"/>
    </row>
    <row r="43" spans="1:23" ht="13.15" customHeight="1">
      <c r="A43" s="2602"/>
      <c r="B43" s="2602"/>
      <c r="C43" s="2602"/>
      <c r="D43" s="2602"/>
      <c r="E43" s="2602"/>
      <c r="F43" s="2602"/>
      <c r="I43" s="2585"/>
      <c r="J43" s="344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2409</v>
      </c>
      <c r="L44" s="2747" t="s">
        <v>2410</v>
      </c>
      <c r="M44" s="2713"/>
      <c r="N44" s="2747" t="s">
        <v>2411</v>
      </c>
      <c r="O44" s="2713"/>
      <c r="P44" s="2747" t="s">
        <v>2412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1">
        <f ca="1">SUMIF(B6:B13,"&lt;&gt;#ref!",B6:B13)</f>
        <v>246617</v>
      </c>
      <c r="C2" s="1728" t="s">
        <v>1650</v>
      </c>
      <c r="D2" s="1729" t="s">
        <v>1651</v>
      </c>
      <c r="E2" s="2392">
        <f>SUM(E6:E13)</f>
        <v>251875.15999999997</v>
      </c>
      <c r="F2" s="2479"/>
      <c r="G2" s="459"/>
      <c r="H2" s="459"/>
      <c r="I2" s="459"/>
      <c r="J2" s="459"/>
      <c r="K2" s="459"/>
      <c r="L2" s="459"/>
      <c r="M2" s="459"/>
      <c r="N2" s="459"/>
      <c r="O2" s="459"/>
      <c r="P2" s="459"/>
      <c r="Q2" s="459"/>
      <c r="R2" s="459"/>
      <c r="S2" s="459"/>
    </row>
    <row r="3" spans="1:22" ht="15.75">
      <c r="A3" s="1727" t="s">
        <v>686</v>
      </c>
      <c r="B3" s="2386">
        <f ca="1">ROUND(B2*10000/E2,0)</f>
        <v>9791</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63" t="s">
        <v>1653</v>
      </c>
      <c r="C5" s="3464"/>
      <c r="D5" s="2480"/>
      <c r="E5" s="1730" t="s">
        <v>1654</v>
      </c>
      <c r="F5" s="129" t="s">
        <v>1655</v>
      </c>
      <c r="G5" s="459"/>
      <c r="H5" s="459"/>
      <c r="I5" s="459"/>
      <c r="J5" s="459"/>
      <c r="K5" s="459"/>
      <c r="L5" s="459"/>
      <c r="M5" s="459"/>
      <c r="N5" s="459"/>
      <c r="O5" s="459"/>
      <c r="P5" s="459"/>
      <c r="Q5" s="459"/>
      <c r="R5" s="459"/>
      <c r="S5" s="459"/>
    </row>
    <row r="6" spans="1:22">
      <c r="A6" s="2389" t="str">
        <f>'数据-取费表'!AN6</f>
        <v>收益法</v>
      </c>
      <c r="B6" s="2387">
        <f ca="1">IF(F6="是",'数据-取费表'!AO6,0)</f>
        <v>246617</v>
      </c>
      <c r="C6" s="1728" t="s">
        <v>1650</v>
      </c>
      <c r="D6" s="2479"/>
      <c r="E6" s="2391">
        <f>IF(OR(A6=0,F6="否"),0,'数据-取费表'!K6+'数据-取费表'!S6)</f>
        <v>251875.15999999997</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2"/>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1663</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1664</v>
      </c>
      <c r="D3" s="343">
        <f>IF(D1="",'数据-汇总表'!E3,SUMIF('数据-汇总表'!$C19:$C33,D1,'数据-汇总表'!$E19:$E33))</f>
        <v>251875.15999999997</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1665</v>
      </c>
      <c r="B4" s="346"/>
      <c r="C4" s="3483" t="s">
        <v>1666</v>
      </c>
      <c r="D4" s="3484"/>
      <c r="E4" s="3485" t="s">
        <v>1667</v>
      </c>
      <c r="F4" s="3486"/>
      <c r="G4" s="3483" t="s">
        <v>1668</v>
      </c>
      <c r="H4" s="3484"/>
      <c r="I4" s="3483" t="s">
        <v>1669</v>
      </c>
      <c r="J4" s="3484"/>
      <c r="K4" s="1743" t="s">
        <v>1670</v>
      </c>
      <c r="L4" s="2486"/>
      <c r="M4" s="2487"/>
      <c r="N4" s="2487"/>
      <c r="O4" s="2487"/>
      <c r="P4" s="3487" t="s">
        <v>1671</v>
      </c>
      <c r="Q4" s="3488"/>
      <c r="R4" s="3493" t="s">
        <v>1667</v>
      </c>
      <c r="S4" s="3494"/>
      <c r="T4" s="3493" t="s">
        <v>1668</v>
      </c>
      <c r="U4" s="3494"/>
      <c r="V4" s="3469" t="s">
        <v>1669</v>
      </c>
      <c r="W4" s="3469"/>
      <c r="X4" s="1264"/>
      <c r="Y4" s="3493" t="s">
        <v>1671</v>
      </c>
      <c r="Z4" s="3494"/>
      <c r="AA4" s="3480" t="s">
        <v>1667</v>
      </c>
      <c r="AB4" s="3480" t="s">
        <v>1668</v>
      </c>
      <c r="AC4" s="3480" t="s">
        <v>1669</v>
      </c>
    </row>
    <row r="5" spans="1:29" ht="15">
      <c r="A5" s="348"/>
      <c r="B5" s="349"/>
      <c r="C5" s="3501" t="s">
        <v>1672</v>
      </c>
      <c r="D5" s="3502"/>
      <c r="E5" s="3508" t="s">
        <v>1673</v>
      </c>
      <c r="F5" s="3509"/>
      <c r="G5" s="3501" t="s">
        <v>1674</v>
      </c>
      <c r="H5" s="3502"/>
      <c r="I5" s="3501" t="s">
        <v>1675</v>
      </c>
      <c r="J5" s="3502"/>
      <c r="K5" s="1744"/>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499" t="s">
        <v>1676</v>
      </c>
      <c r="D6" s="3500"/>
      <c r="E6" s="3506" t="s">
        <v>1676</v>
      </c>
      <c r="F6" s="3507"/>
      <c r="G6" s="3499" t="s">
        <v>1676</v>
      </c>
      <c r="H6" s="3500"/>
      <c r="I6" s="3499" t="s">
        <v>1676</v>
      </c>
      <c r="J6" s="3500"/>
      <c r="K6" s="1744" t="s">
        <v>1677</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1678</v>
      </c>
      <c r="B7" s="353"/>
      <c r="C7" s="354">
        <f>'数据-取费表'!B2</f>
        <v>45792</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503" t="s">
        <v>1679</v>
      </c>
      <c r="Q7" s="3505"/>
      <c r="R7" s="664" t="s">
        <v>20</v>
      </c>
      <c r="S7" s="665">
        <f t="shared" ref="S7:S15" si="0">F7</f>
        <v>0</v>
      </c>
      <c r="T7" s="664" t="s">
        <v>20</v>
      </c>
      <c r="U7" s="665">
        <f t="shared" ref="U7:U15" si="1">H7</f>
        <v>0</v>
      </c>
      <c r="V7" s="664" t="s">
        <v>20</v>
      </c>
      <c r="W7" s="665">
        <f t="shared" ref="W7:W15" si="2">J7</f>
        <v>0</v>
      </c>
      <c r="X7" s="666"/>
      <c r="Y7" s="3503" t="s">
        <v>1679</v>
      </c>
      <c r="Z7" s="3504"/>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503" t="s">
        <v>1682</v>
      </c>
      <c r="Q8" s="3504"/>
      <c r="R8" s="664" t="s">
        <v>20</v>
      </c>
      <c r="S8" s="665">
        <f t="shared" si="0"/>
        <v>100</v>
      </c>
      <c r="T8" s="664" t="s">
        <v>20</v>
      </c>
      <c r="U8" s="665">
        <f t="shared" si="1"/>
        <v>100</v>
      </c>
      <c r="V8" s="664" t="s">
        <v>20</v>
      </c>
      <c r="W8" s="665">
        <f t="shared" si="2"/>
        <v>100</v>
      </c>
      <c r="X8" s="666"/>
      <c r="Y8" s="3503" t="s">
        <v>1682</v>
      </c>
      <c r="Z8" s="3504"/>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79" t="s">
        <v>1685</v>
      </c>
      <c r="Q9" s="530" t="str">
        <f t="shared" ref="Q9:Q15" si="6">B9</f>
        <v>用途</v>
      </c>
      <c r="R9" s="664" t="s">
        <v>14</v>
      </c>
      <c r="S9" s="665">
        <f t="shared" si="0"/>
        <v>100</v>
      </c>
      <c r="T9" s="664" t="s">
        <v>14</v>
      </c>
      <c r="U9" s="665">
        <f t="shared" si="1"/>
        <v>100</v>
      </c>
      <c r="V9" s="664" t="s">
        <v>14</v>
      </c>
      <c r="W9" s="665">
        <f t="shared" si="2"/>
        <v>100</v>
      </c>
      <c r="X9" s="666"/>
      <c r="Y9" s="3343" t="s">
        <v>1686</v>
      </c>
      <c r="Z9" s="50" t="str">
        <f t="shared" ref="Z9:Z15" si="7">Q9</f>
        <v>用途</v>
      </c>
      <c r="AA9" s="50">
        <f t="shared" si="3"/>
        <v>1</v>
      </c>
      <c r="AB9" s="50">
        <f t="shared" si="4"/>
        <v>1</v>
      </c>
      <c r="AC9" s="50">
        <f t="shared" si="5"/>
        <v>1</v>
      </c>
    </row>
    <row r="10" spans="1:29" s="366" customFormat="1" ht="27">
      <c r="A10" s="363"/>
      <c r="B10" s="364" t="s">
        <v>1687</v>
      </c>
      <c r="C10" s="3130"/>
      <c r="D10" s="119">
        <v>100</v>
      </c>
      <c r="E10" s="3131"/>
      <c r="F10" s="364">
        <f>SUMIF(65:65,E10,66:66)-SUMIF(65:65,C10,66:66)+100</f>
        <v>100</v>
      </c>
      <c r="G10" s="3130"/>
      <c r="H10" s="119">
        <f>SUMIF(65:65,G10,66:66)-SUMIF(65:65,C10,66:66)+100</f>
        <v>100</v>
      </c>
      <c r="I10" s="3130"/>
      <c r="J10" s="119">
        <f>SUMIF(65:65,I10,66:66)-SUMIF(65:65,C10,66:66)+100</f>
        <v>100</v>
      </c>
      <c r="K10" s="1745"/>
      <c r="L10" s="2489"/>
      <c r="M10" s="2490"/>
      <c r="N10" s="2490"/>
      <c r="O10" s="2490"/>
      <c r="P10" s="3479"/>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79"/>
      <c r="Q11" s="530" t="str">
        <f t="shared" si="6"/>
        <v>容积率</v>
      </c>
      <c r="R11" s="664" t="s">
        <v>18</v>
      </c>
      <c r="S11" s="665" t="e">
        <f t="shared" si="0"/>
        <v>#N/A</v>
      </c>
      <c r="T11" s="664" t="s">
        <v>18</v>
      </c>
      <c r="U11" s="665" t="e">
        <f t="shared" si="1"/>
        <v>#N/A</v>
      </c>
      <c r="V11" s="664" t="s">
        <v>18</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79"/>
      <c r="Q12" s="530">
        <f t="shared" si="6"/>
        <v>111</v>
      </c>
      <c r="R12" s="664" t="s">
        <v>18</v>
      </c>
      <c r="S12" s="665">
        <f t="shared" si="0"/>
        <v>100</v>
      </c>
      <c r="T12" s="664" t="s">
        <v>18</v>
      </c>
      <c r="U12" s="665">
        <f t="shared" si="1"/>
        <v>100</v>
      </c>
      <c r="V12" s="664" t="s">
        <v>18</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79"/>
      <c r="Q13" s="530">
        <f t="shared" si="6"/>
        <v>111</v>
      </c>
      <c r="R13" s="664" t="s">
        <v>18</v>
      </c>
      <c r="S13" s="665">
        <f t="shared" si="0"/>
        <v>100</v>
      </c>
      <c r="T13" s="664" t="s">
        <v>18</v>
      </c>
      <c r="U13" s="665">
        <f t="shared" si="1"/>
        <v>100</v>
      </c>
      <c r="V13" s="664" t="s">
        <v>18</v>
      </c>
      <c r="W13" s="665">
        <f t="shared" si="2"/>
        <v>100</v>
      </c>
      <c r="X13" s="666"/>
      <c r="Y13" s="334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79"/>
      <c r="Q14" s="530">
        <f t="shared" si="6"/>
        <v>111</v>
      </c>
      <c r="R14" s="664" t="s">
        <v>18</v>
      </c>
      <c r="S14" s="665">
        <f t="shared" si="0"/>
        <v>100</v>
      </c>
      <c r="T14" s="664" t="s">
        <v>18</v>
      </c>
      <c r="U14" s="665">
        <f t="shared" si="1"/>
        <v>100</v>
      </c>
      <c r="V14" s="664" t="s">
        <v>18</v>
      </c>
      <c r="W14" s="665">
        <f t="shared" si="2"/>
        <v>100</v>
      </c>
      <c r="X14" s="666"/>
      <c r="Y14" s="3343"/>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77" t="s">
        <v>1690</v>
      </c>
      <c r="Q15" s="1262" t="str">
        <f t="shared" si="6"/>
        <v>居住社区成熟度</v>
      </c>
      <c r="R15" s="667" t="s">
        <v>18</v>
      </c>
      <c r="S15" s="668">
        <f t="shared" si="0"/>
        <v>100</v>
      </c>
      <c r="T15" s="667" t="s">
        <v>18</v>
      </c>
      <c r="U15" s="668">
        <f t="shared" si="1"/>
        <v>100</v>
      </c>
      <c r="V15" s="667" t="s">
        <v>18</v>
      </c>
      <c r="W15" s="668">
        <f t="shared" si="2"/>
        <v>100</v>
      </c>
      <c r="X15" s="1264"/>
      <c r="Y15" s="3470"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78"/>
      <c r="Q16" s="1262"/>
      <c r="R16" s="667"/>
      <c r="S16" s="668"/>
      <c r="T16" s="667"/>
      <c r="U16" s="668"/>
      <c r="V16" s="667"/>
      <c r="W16" s="668"/>
      <c r="X16" s="1264"/>
      <c r="Y16" s="3471"/>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78"/>
      <c r="Q17" s="1262" t="str">
        <f>B17</f>
        <v>交通便捷度</v>
      </c>
      <c r="R17" s="667" t="s">
        <v>18</v>
      </c>
      <c r="S17" s="668">
        <f>F17</f>
        <v>100</v>
      </c>
      <c r="T17" s="667" t="s">
        <v>18</v>
      </c>
      <c r="U17" s="668">
        <f>H17</f>
        <v>100</v>
      </c>
      <c r="V17" s="667" t="s">
        <v>18</v>
      </c>
      <c r="W17" s="668">
        <f>J17</f>
        <v>100</v>
      </c>
      <c r="X17" s="1264"/>
      <c r="Y17" s="347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78"/>
      <c r="Q18" s="1262"/>
      <c r="R18" s="667"/>
      <c r="S18" s="668"/>
      <c r="T18" s="667"/>
      <c r="U18" s="668"/>
      <c r="V18" s="667"/>
      <c r="W18" s="668"/>
      <c r="X18" s="1264"/>
      <c r="Y18" s="3471"/>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78"/>
      <c r="Q19" s="1262" t="str">
        <f>B19</f>
        <v>公共配套设施</v>
      </c>
      <c r="R19" s="667" t="s">
        <v>18</v>
      </c>
      <c r="S19" s="668">
        <f>F19</f>
        <v>100</v>
      </c>
      <c r="T19" s="667" t="s">
        <v>18</v>
      </c>
      <c r="U19" s="668">
        <f>H19</f>
        <v>100</v>
      </c>
      <c r="V19" s="667" t="s">
        <v>18</v>
      </c>
      <c r="W19" s="668">
        <f>J19</f>
        <v>100</v>
      </c>
      <c r="X19" s="1264"/>
      <c r="Y19" s="347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78"/>
      <c r="Q20" s="1262"/>
      <c r="R20" s="667"/>
      <c r="S20" s="668"/>
      <c r="T20" s="667"/>
      <c r="U20" s="668"/>
      <c r="V20" s="667"/>
      <c r="W20" s="668"/>
      <c r="X20" s="1264"/>
      <c r="Y20" s="3471"/>
      <c r="Z20" s="1263"/>
      <c r="AA20" s="1263">
        <v>1</v>
      </c>
      <c r="AB20" s="1263">
        <v>1</v>
      </c>
      <c r="AC20" s="1263">
        <v>1</v>
      </c>
    </row>
    <row r="21" spans="1:29" ht="15">
      <c r="A21" s="367"/>
      <c r="B21" s="586"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78"/>
      <c r="Q21" s="1262" t="str">
        <f>B21</f>
        <v>基础设施水平</v>
      </c>
      <c r="R21" s="667" t="s">
        <v>14</v>
      </c>
      <c r="S21" s="668">
        <f>F21</f>
        <v>100</v>
      </c>
      <c r="T21" s="667" t="s">
        <v>14</v>
      </c>
      <c r="U21" s="668">
        <f>H21</f>
        <v>100</v>
      </c>
      <c r="V21" s="667" t="s">
        <v>14</v>
      </c>
      <c r="W21" s="668">
        <f>J21</f>
        <v>100</v>
      </c>
      <c r="X21" s="1264"/>
      <c r="Y21" s="34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78"/>
      <c r="Q22" s="1262"/>
      <c r="R22" s="667"/>
      <c r="S22" s="668"/>
      <c r="T22" s="667"/>
      <c r="U22" s="668"/>
      <c r="V22" s="667"/>
      <c r="W22" s="668"/>
      <c r="X22" s="1264"/>
      <c r="Y22" s="3471"/>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78"/>
      <c r="Q23" s="1262" t="str">
        <f>B23</f>
        <v>自然及人文环境</v>
      </c>
      <c r="R23" s="667" t="s">
        <v>18</v>
      </c>
      <c r="S23" s="668">
        <f>F23</f>
        <v>100</v>
      </c>
      <c r="T23" s="667" t="s">
        <v>18</v>
      </c>
      <c r="U23" s="668">
        <f>H23</f>
        <v>100</v>
      </c>
      <c r="V23" s="667" t="s">
        <v>18</v>
      </c>
      <c r="W23" s="668">
        <f>J23</f>
        <v>100</v>
      </c>
      <c r="X23" s="1264"/>
      <c r="Y23" s="347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78"/>
      <c r="Q24" s="1262"/>
      <c r="R24" s="667"/>
      <c r="S24" s="668"/>
      <c r="T24" s="667"/>
      <c r="U24" s="668"/>
      <c r="V24" s="667"/>
      <c r="W24" s="668"/>
      <c r="X24" s="1264"/>
      <c r="Y24" s="3471"/>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78"/>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71"/>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78"/>
      <c r="Q26" s="1262" t="str">
        <f t="shared" si="11"/>
        <v>朝向</v>
      </c>
      <c r="R26" s="667" t="s">
        <v>18</v>
      </c>
      <c r="S26" s="668">
        <f t="shared" si="12"/>
        <v>100</v>
      </c>
      <c r="T26" s="667" t="s">
        <v>18</v>
      </c>
      <c r="U26" s="668">
        <f t="shared" si="13"/>
        <v>100</v>
      </c>
      <c r="V26" s="667" t="s">
        <v>18</v>
      </c>
      <c r="W26" s="668">
        <f t="shared" si="14"/>
        <v>100</v>
      </c>
      <c r="X26" s="1264"/>
      <c r="Y26" s="3471"/>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78"/>
      <c r="Q27" s="530">
        <f t="shared" si="11"/>
        <v>111</v>
      </c>
      <c r="R27" s="664" t="s">
        <v>18</v>
      </c>
      <c r="S27" s="665">
        <f t="shared" si="12"/>
        <v>100</v>
      </c>
      <c r="T27" s="664" t="s">
        <v>18</v>
      </c>
      <c r="U27" s="665">
        <f t="shared" si="13"/>
        <v>100</v>
      </c>
      <c r="V27" s="664" t="s">
        <v>18</v>
      </c>
      <c r="W27" s="665">
        <f t="shared" si="14"/>
        <v>100</v>
      </c>
      <c r="X27" s="666"/>
      <c r="Y27" s="3471"/>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78"/>
      <c r="Q28" s="1262">
        <f t="shared" si="11"/>
        <v>111</v>
      </c>
      <c r="R28" s="667" t="s">
        <v>18</v>
      </c>
      <c r="S28" s="668">
        <f t="shared" si="12"/>
        <v>100</v>
      </c>
      <c r="T28" s="667" t="s">
        <v>18</v>
      </c>
      <c r="U28" s="668">
        <f t="shared" si="13"/>
        <v>100</v>
      </c>
      <c r="V28" s="667" t="s">
        <v>18</v>
      </c>
      <c r="W28" s="668">
        <f t="shared" si="14"/>
        <v>100</v>
      </c>
      <c r="X28" s="1264"/>
      <c r="Y28" s="3471"/>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78"/>
      <c r="Q29" s="1262">
        <f t="shared" si="11"/>
        <v>111</v>
      </c>
      <c r="R29" s="667" t="s">
        <v>18</v>
      </c>
      <c r="S29" s="668">
        <f t="shared" si="12"/>
        <v>100</v>
      </c>
      <c r="T29" s="667" t="s">
        <v>18</v>
      </c>
      <c r="U29" s="668">
        <f t="shared" si="13"/>
        <v>100</v>
      </c>
      <c r="V29" s="667" t="s">
        <v>18</v>
      </c>
      <c r="W29" s="668">
        <f t="shared" si="14"/>
        <v>100</v>
      </c>
      <c r="X29" s="1264"/>
      <c r="Y29" s="3471"/>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78"/>
      <c r="Q30" s="1262">
        <f t="shared" si="11"/>
        <v>111</v>
      </c>
      <c r="R30" s="667" t="s">
        <v>18</v>
      </c>
      <c r="S30" s="668">
        <f t="shared" si="12"/>
        <v>100</v>
      </c>
      <c r="T30" s="667" t="s">
        <v>18</v>
      </c>
      <c r="U30" s="668">
        <f t="shared" si="13"/>
        <v>100</v>
      </c>
      <c r="V30" s="667" t="s">
        <v>18</v>
      </c>
      <c r="W30" s="668">
        <f t="shared" si="14"/>
        <v>100</v>
      </c>
      <c r="X30" s="1264"/>
      <c r="Y30" s="3471"/>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78"/>
      <c r="Q31" s="1262">
        <f t="shared" si="11"/>
        <v>111</v>
      </c>
      <c r="R31" s="667" t="s">
        <v>18</v>
      </c>
      <c r="S31" s="668">
        <f t="shared" si="12"/>
        <v>100</v>
      </c>
      <c r="T31" s="667" t="s">
        <v>18</v>
      </c>
      <c r="U31" s="668">
        <f t="shared" si="13"/>
        <v>100</v>
      </c>
      <c r="V31" s="667" t="s">
        <v>18</v>
      </c>
      <c r="W31" s="668">
        <f t="shared" si="14"/>
        <v>100</v>
      </c>
      <c r="X31" s="1264"/>
      <c r="Y31" s="3471"/>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72" t="s">
        <v>1695</v>
      </c>
      <c r="Q32" s="1262" t="str">
        <f t="shared" si="11"/>
        <v>建筑类型</v>
      </c>
      <c r="R32" s="667" t="s">
        <v>18</v>
      </c>
      <c r="S32" s="668">
        <f t="shared" si="12"/>
        <v>100</v>
      </c>
      <c r="T32" s="667" t="s">
        <v>18</v>
      </c>
      <c r="U32" s="668">
        <f t="shared" si="13"/>
        <v>100</v>
      </c>
      <c r="V32" s="667" t="s">
        <v>18</v>
      </c>
      <c r="W32" s="668">
        <f t="shared" si="14"/>
        <v>100</v>
      </c>
      <c r="X32" s="1264"/>
      <c r="Y32" s="3475"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73"/>
      <c r="Q33" s="531" t="str">
        <f t="shared" si="11"/>
        <v>项目建筑规模</v>
      </c>
      <c r="R33" s="669" t="s">
        <v>18</v>
      </c>
      <c r="S33" s="670" t="e">
        <f t="shared" si="12"/>
        <v>#N/A</v>
      </c>
      <c r="T33" s="669" t="s">
        <v>18</v>
      </c>
      <c r="U33" s="670" t="e">
        <f t="shared" si="13"/>
        <v>#N/A</v>
      </c>
      <c r="V33" s="669" t="s">
        <v>18</v>
      </c>
      <c r="W33" s="670" t="e">
        <f t="shared" si="14"/>
        <v>#N/A</v>
      </c>
      <c r="X33" s="671"/>
      <c r="Y33" s="3475"/>
      <c r="Z33" s="672"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73"/>
      <c r="Q34" s="1262" t="str">
        <f t="shared" si="11"/>
        <v>建筑结构</v>
      </c>
      <c r="R34" s="667" t="s">
        <v>18</v>
      </c>
      <c r="S34" s="668">
        <f t="shared" si="12"/>
        <v>100</v>
      </c>
      <c r="T34" s="667" t="s">
        <v>18</v>
      </c>
      <c r="U34" s="668">
        <f t="shared" si="13"/>
        <v>100</v>
      </c>
      <c r="V34" s="667" t="s">
        <v>18</v>
      </c>
      <c r="W34" s="668">
        <f t="shared" si="14"/>
        <v>100</v>
      </c>
      <c r="X34" s="1264"/>
      <c r="Y34" s="3475"/>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73"/>
      <c r="Q35" s="1262" t="str">
        <f t="shared" si="11"/>
        <v>建筑品质</v>
      </c>
      <c r="R35" s="667" t="s">
        <v>18</v>
      </c>
      <c r="S35" s="668">
        <f t="shared" si="12"/>
        <v>100</v>
      </c>
      <c r="T35" s="667" t="s">
        <v>18</v>
      </c>
      <c r="U35" s="668">
        <f t="shared" si="13"/>
        <v>100</v>
      </c>
      <c r="V35" s="667" t="s">
        <v>18</v>
      </c>
      <c r="W35" s="668">
        <f t="shared" si="14"/>
        <v>100</v>
      </c>
      <c r="X35" s="1264"/>
      <c r="Y35" s="3475"/>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73"/>
      <c r="Q36" s="1262" t="str">
        <f t="shared" si="11"/>
        <v>公共部分装修</v>
      </c>
      <c r="R36" s="667" t="s">
        <v>18</v>
      </c>
      <c r="S36" s="668">
        <f t="shared" si="12"/>
        <v>100</v>
      </c>
      <c r="T36" s="667" t="s">
        <v>18</v>
      </c>
      <c r="U36" s="668">
        <f t="shared" si="13"/>
        <v>100</v>
      </c>
      <c r="V36" s="667" t="s">
        <v>18</v>
      </c>
      <c r="W36" s="668">
        <f t="shared" si="14"/>
        <v>100</v>
      </c>
      <c r="X36" s="1264"/>
      <c r="Y36" s="3475"/>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73"/>
      <c r="Q37" s="530" t="str">
        <f t="shared" si="11"/>
        <v>成新度</v>
      </c>
      <c r="R37" s="664" t="s">
        <v>18</v>
      </c>
      <c r="S37" s="665" t="e">
        <f t="shared" si="12"/>
        <v>#N/A</v>
      </c>
      <c r="T37" s="664" t="s">
        <v>18</v>
      </c>
      <c r="U37" s="665" t="e">
        <f t="shared" si="13"/>
        <v>#N/A</v>
      </c>
      <c r="V37" s="664" t="s">
        <v>18</v>
      </c>
      <c r="W37" s="665" t="e">
        <f t="shared" si="14"/>
        <v>#N/A</v>
      </c>
      <c r="X37" s="666"/>
      <c r="Y37" s="3475"/>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73" t="s">
        <v>1695</v>
      </c>
      <c r="Q38" s="1262" t="str">
        <f t="shared" si="11"/>
        <v>物业管理</v>
      </c>
      <c r="R38" s="667" t="s">
        <v>18</v>
      </c>
      <c r="S38" s="668">
        <f t="shared" si="12"/>
        <v>100</v>
      </c>
      <c r="T38" s="667" t="s">
        <v>18</v>
      </c>
      <c r="U38" s="668">
        <f t="shared" si="13"/>
        <v>100</v>
      </c>
      <c r="V38" s="667" t="s">
        <v>18</v>
      </c>
      <c r="W38" s="668">
        <f t="shared" si="14"/>
        <v>100</v>
      </c>
      <c r="X38" s="1264"/>
      <c r="Y38" s="3475"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73"/>
      <c r="Q39" s="1262" t="str">
        <f t="shared" si="11"/>
        <v>市政基础设施</v>
      </c>
      <c r="R39" s="667" t="s">
        <v>18</v>
      </c>
      <c r="S39" s="668">
        <f t="shared" si="12"/>
        <v>100</v>
      </c>
      <c r="T39" s="667" t="s">
        <v>18</v>
      </c>
      <c r="U39" s="668">
        <f t="shared" si="13"/>
        <v>100</v>
      </c>
      <c r="V39" s="667" t="s">
        <v>18</v>
      </c>
      <c r="W39" s="668">
        <f t="shared" si="14"/>
        <v>100</v>
      </c>
      <c r="X39" s="1264"/>
      <c r="Y39" s="3475"/>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73"/>
      <c r="Q40" s="1262" t="str">
        <f t="shared" si="11"/>
        <v>房型</v>
      </c>
      <c r="R40" s="667" t="s">
        <v>18</v>
      </c>
      <c r="S40" s="668">
        <f t="shared" si="12"/>
        <v>100</v>
      </c>
      <c r="T40" s="667" t="s">
        <v>18</v>
      </c>
      <c r="U40" s="668">
        <f t="shared" si="13"/>
        <v>100</v>
      </c>
      <c r="V40" s="667" t="s">
        <v>18</v>
      </c>
      <c r="W40" s="668">
        <f t="shared" si="14"/>
        <v>100</v>
      </c>
      <c r="X40" s="1264"/>
      <c r="Y40" s="3475"/>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73"/>
      <c r="Q41" s="531" t="str">
        <f t="shared" si="11"/>
        <v>单套/主力户型建筑面积</v>
      </c>
      <c r="R41" s="669" t="s">
        <v>18</v>
      </c>
      <c r="S41" s="670">
        <f t="shared" si="12"/>
        <v>100</v>
      </c>
      <c r="T41" s="669" t="s">
        <v>18</v>
      </c>
      <c r="U41" s="670">
        <f t="shared" si="13"/>
        <v>100</v>
      </c>
      <c r="V41" s="669" t="s">
        <v>18</v>
      </c>
      <c r="W41" s="670">
        <f t="shared" si="14"/>
        <v>100</v>
      </c>
      <c r="X41" s="671"/>
      <c r="Y41" s="3475"/>
      <c r="Z41" s="672"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73"/>
      <c r="Q42" s="1262" t="str">
        <f t="shared" si="11"/>
        <v>内部装修</v>
      </c>
      <c r="R42" s="667" t="s">
        <v>18</v>
      </c>
      <c r="S42" s="668">
        <f t="shared" si="12"/>
        <v>100</v>
      </c>
      <c r="T42" s="667" t="s">
        <v>18</v>
      </c>
      <c r="U42" s="668">
        <f t="shared" si="13"/>
        <v>100</v>
      </c>
      <c r="V42" s="667" t="s">
        <v>18</v>
      </c>
      <c r="W42" s="668">
        <f t="shared" si="14"/>
        <v>100</v>
      </c>
      <c r="X42" s="1264"/>
      <c r="Y42" s="3475"/>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73"/>
      <c r="Q43" s="1262" t="str">
        <f t="shared" si="11"/>
        <v>内部装修维护情况</v>
      </c>
      <c r="R43" s="667" t="s">
        <v>18</v>
      </c>
      <c r="S43" s="668">
        <f t="shared" si="12"/>
        <v>100</v>
      </c>
      <c r="T43" s="667" t="s">
        <v>18</v>
      </c>
      <c r="U43" s="668">
        <f t="shared" si="13"/>
        <v>100</v>
      </c>
      <c r="V43" s="667" t="s">
        <v>18</v>
      </c>
      <c r="W43" s="668">
        <f t="shared" si="14"/>
        <v>100</v>
      </c>
      <c r="X43" s="1264"/>
      <c r="Y43" s="3475"/>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73"/>
      <c r="Q44" s="530">
        <f t="shared" si="11"/>
        <v>111</v>
      </c>
      <c r="R44" s="664" t="s">
        <v>18</v>
      </c>
      <c r="S44" s="665">
        <f t="shared" si="12"/>
        <v>100</v>
      </c>
      <c r="T44" s="664" t="s">
        <v>18</v>
      </c>
      <c r="U44" s="665">
        <f t="shared" si="13"/>
        <v>100</v>
      </c>
      <c r="V44" s="664" t="s">
        <v>18</v>
      </c>
      <c r="W44" s="665">
        <f t="shared" si="14"/>
        <v>100</v>
      </c>
      <c r="X44" s="666"/>
      <c r="Y44" s="34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73"/>
      <c r="Q45" s="1262">
        <f t="shared" si="11"/>
        <v>111</v>
      </c>
      <c r="R45" s="667" t="s">
        <v>18</v>
      </c>
      <c r="S45" s="668">
        <f t="shared" si="12"/>
        <v>100</v>
      </c>
      <c r="T45" s="667" t="s">
        <v>18</v>
      </c>
      <c r="U45" s="668">
        <f t="shared" si="13"/>
        <v>100</v>
      </c>
      <c r="V45" s="667" t="s">
        <v>18</v>
      </c>
      <c r="W45" s="668">
        <f t="shared" si="14"/>
        <v>100</v>
      </c>
      <c r="X45" s="1264"/>
      <c r="Y45" s="347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74"/>
      <c r="Q46" s="1262">
        <f t="shared" si="11"/>
        <v>111</v>
      </c>
      <c r="R46" s="667" t="s">
        <v>17</v>
      </c>
      <c r="S46" s="668">
        <f t="shared" si="12"/>
        <v>100</v>
      </c>
      <c r="T46" s="667" t="s">
        <v>17</v>
      </c>
      <c r="U46" s="668">
        <f t="shared" si="13"/>
        <v>100</v>
      </c>
      <c r="V46" s="667" t="s">
        <v>17</v>
      </c>
      <c r="W46" s="668">
        <f t="shared" si="14"/>
        <v>100</v>
      </c>
      <c r="X46" s="1264"/>
      <c r="Y46" s="3476"/>
      <c r="Z46" s="1263">
        <f t="shared" si="18"/>
        <v>111</v>
      </c>
      <c r="AA46" s="1263">
        <f t="shared" si="15"/>
        <v>1</v>
      </c>
      <c r="AB46" s="1263">
        <f t="shared" si="16"/>
        <v>1</v>
      </c>
      <c r="AC46" s="1263">
        <f t="shared" si="17"/>
        <v>1</v>
      </c>
    </row>
    <row r="47" spans="1:29" ht="15">
      <c r="A47" s="416" t="s">
        <v>1707</v>
      </c>
      <c r="B47" s="417"/>
      <c r="C47" s="1081" t="s">
        <v>16</v>
      </c>
      <c r="D47" s="418"/>
      <c r="E47" s="419"/>
      <c r="F47" s="420"/>
      <c r="G47" s="421"/>
      <c r="H47" s="422"/>
      <c r="I47" s="419"/>
      <c r="J47" s="422"/>
      <c r="K47" s="1766"/>
      <c r="L47" s="2494"/>
      <c r="M47" s="2487"/>
      <c r="N47" s="2487"/>
      <c r="O47" s="2487"/>
      <c r="P47" s="3468" t="str">
        <f>A47</f>
        <v>成交单价（元/平方米）</v>
      </c>
      <c r="Q47" s="3468"/>
      <c r="R47" s="3469">
        <f>E47</f>
        <v>0</v>
      </c>
      <c r="S47" s="3469"/>
      <c r="T47" s="3469">
        <f>G47</f>
        <v>0</v>
      </c>
      <c r="U47" s="3469"/>
      <c r="V47" s="3469">
        <f>I47</f>
        <v>0</v>
      </c>
      <c r="W47" s="3469"/>
      <c r="X47" s="385"/>
      <c r="Y47" s="673"/>
      <c r="Z47" s="385"/>
      <c r="AA47" s="385"/>
      <c r="AB47" s="385"/>
      <c r="AC47" s="385"/>
    </row>
    <row r="48" spans="1:29" ht="15.75" thickBot="1">
      <c r="A48" s="423" t="s">
        <v>1708</v>
      </c>
      <c r="B48" s="424"/>
      <c r="C48" s="1082" t="e">
        <f>R49</f>
        <v>#DIV/0!</v>
      </c>
      <c r="D48" s="2140" t="s">
        <v>2137</v>
      </c>
      <c r="E48" s="1083" t="e">
        <f>R48</f>
        <v>#DIV/0!</v>
      </c>
      <c r="F48" s="2141"/>
      <c r="G48" s="1082" t="e">
        <f>T48</f>
        <v>#DIV/0!</v>
      </c>
      <c r="H48" s="2141"/>
      <c r="I48" s="1083" t="e">
        <f>V48</f>
        <v>#DIV/0!</v>
      </c>
      <c r="J48" s="2141"/>
      <c r="K48" s="2142">
        <f>F48+H48+J48</f>
        <v>0</v>
      </c>
      <c r="L48" s="2494"/>
      <c r="M48" s="2487"/>
      <c r="N48" s="2487"/>
      <c r="O48" s="2487"/>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385"/>
      <c r="Y48" s="385"/>
      <c r="Z48" s="385"/>
      <c r="AA48" s="385"/>
      <c r="AB48" s="385"/>
      <c r="AC48" s="385"/>
    </row>
    <row r="49" spans="1:29" ht="15.75" thickBot="1">
      <c r="A49" s="427" t="s">
        <v>1709</v>
      </c>
      <c r="B49" s="428"/>
      <c r="C49" s="1084" t="e">
        <f>R49</f>
        <v>#DIV/0!</v>
      </c>
      <c r="D49" s="351"/>
      <c r="E49" s="351"/>
      <c r="F49" s="351"/>
      <c r="G49" s="351"/>
      <c r="H49" s="351"/>
      <c r="I49" s="351"/>
      <c r="J49" s="351"/>
      <c r="K49" s="1767"/>
      <c r="L49" s="2494"/>
      <c r="M49" s="2487"/>
      <c r="N49" s="2487"/>
      <c r="O49" s="2487"/>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1713</v>
      </c>
      <c r="B57" s="385"/>
      <c r="C57" s="659"/>
      <c r="D57" s="659"/>
      <c r="E57" s="659"/>
      <c r="F57" s="660"/>
      <c r="G57" s="660"/>
      <c r="H57" s="659"/>
      <c r="I57" s="659"/>
      <c r="J57" s="659"/>
      <c r="K57" s="887"/>
      <c r="L57" s="888"/>
      <c r="M57" s="886"/>
      <c r="N57" s="886"/>
      <c r="O57" s="886"/>
      <c r="P57" s="1770"/>
      <c r="Q57" s="439"/>
    </row>
    <row r="58" spans="1:29" s="442" customFormat="1" ht="15">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1718</v>
      </c>
      <c r="B63" s="460" t="s">
        <v>1684</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1687</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1733</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1734</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1693</v>
      </c>
      <c r="B100" s="460" t="s">
        <v>1735</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1737</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1738</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1739</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1740</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1741</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1742</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1704</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1743</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4">
        <v>6</v>
      </c>
      <c r="C139" s="815">
        <v>96</v>
      </c>
      <c r="D139" s="1791" t="s">
        <v>1754</v>
      </c>
      <c r="E139" s="816">
        <v>100</v>
      </c>
      <c r="F139" s="817">
        <v>102.5</v>
      </c>
      <c r="G139" s="1791" t="s">
        <v>1754</v>
      </c>
      <c r="H139" s="818">
        <v>105</v>
      </c>
      <c r="I139" s="1792" t="s">
        <v>1755</v>
      </c>
      <c r="J139" s="815">
        <v>20</v>
      </c>
      <c r="K139" s="819">
        <f>C145/(J139-2)</f>
        <v>4.0555555555555553E-3</v>
      </c>
    </row>
    <row r="140" spans="1:17" ht="15">
      <c r="B140" s="820">
        <v>5</v>
      </c>
      <c r="C140" s="821">
        <v>100</v>
      </c>
      <c r="D140" s="821"/>
      <c r="E140" s="822"/>
      <c r="F140" s="823">
        <v>102</v>
      </c>
      <c r="G140" s="821"/>
      <c r="H140" s="824"/>
      <c r="I140" s="1793" t="s">
        <v>1756</v>
      </c>
      <c r="J140" s="263">
        <f>ROUNDUP((J139-1)/2,0)</f>
        <v>10</v>
      </c>
      <c r="K140" s="825">
        <v>100</v>
      </c>
    </row>
    <row r="141" spans="1:17" ht="15">
      <c r="B141" s="820">
        <v>4</v>
      </c>
      <c r="C141" s="821">
        <v>102</v>
      </c>
      <c r="D141" s="821"/>
      <c r="E141" s="822"/>
      <c r="F141" s="823">
        <v>101.5</v>
      </c>
      <c r="G141" s="821"/>
      <c r="H141" s="824"/>
      <c r="I141" s="1793" t="s">
        <v>1757</v>
      </c>
      <c r="J141" s="263">
        <v>1</v>
      </c>
      <c r="K141" s="826">
        <f>ROUND(100+(J141-J140)*K139*100,1)</f>
        <v>96.4</v>
      </c>
    </row>
    <row r="142" spans="1:17" ht="15">
      <c r="B142" s="820">
        <v>3</v>
      </c>
      <c r="C142" s="821">
        <v>103</v>
      </c>
      <c r="D142" s="821"/>
      <c r="E142" s="822"/>
      <c r="F142" s="823">
        <v>101</v>
      </c>
      <c r="G142" s="821"/>
      <c r="H142" s="824"/>
      <c r="I142" s="1793" t="s">
        <v>1758</v>
      </c>
      <c r="J142" s="263">
        <f>J139</f>
        <v>20</v>
      </c>
      <c r="K142" s="827">
        <v>95</v>
      </c>
    </row>
    <row r="143" spans="1:17" ht="15">
      <c r="B143" s="820">
        <v>2</v>
      </c>
      <c r="C143" s="821">
        <v>100</v>
      </c>
      <c r="D143" s="821"/>
      <c r="E143" s="822"/>
      <c r="F143" s="823">
        <v>100.5</v>
      </c>
      <c r="G143" s="821"/>
      <c r="H143" s="824"/>
      <c r="I143" s="1793" t="s">
        <v>1759</v>
      </c>
      <c r="J143" s="821">
        <v>15</v>
      </c>
      <c r="K143" s="826">
        <f>ROUND(100+(J143-J140)*K139*100,1)</f>
        <v>102</v>
      </c>
    </row>
    <row r="144" spans="1:17" ht="15">
      <c r="B144" s="820">
        <v>1</v>
      </c>
      <c r="C144" s="821">
        <v>98</v>
      </c>
      <c r="D144" s="1794" t="s">
        <v>1760</v>
      </c>
      <c r="E144" s="822">
        <v>102</v>
      </c>
      <c r="F144" s="828">
        <v>100</v>
      </c>
      <c r="G144" s="1794" t="s">
        <v>1760</v>
      </c>
      <c r="H144" s="824">
        <v>105</v>
      </c>
      <c r="I144" s="1793" t="s">
        <v>1759</v>
      </c>
      <c r="J144" s="821">
        <v>18</v>
      </c>
      <c r="K144" s="826">
        <f>ROUND(100+(J144-J140)*K139*100,1)</f>
        <v>103.2</v>
      </c>
    </row>
    <row r="145" spans="2:11" ht="15.75" thickBot="1">
      <c r="B145" s="1795" t="s">
        <v>1761</v>
      </c>
      <c r="C145" s="829">
        <f>ROUND(MAX(C139:C144)/MIN(C139:C144)-1,3)</f>
        <v>7.2999999999999995E-2</v>
      </c>
      <c r="D145" s="830"/>
      <c r="E145" s="830"/>
      <c r="F145" s="1796" t="s">
        <v>1762</v>
      </c>
      <c r="G145" s="1797"/>
      <c r="H145" s="1798"/>
      <c r="I145" s="1799" t="s">
        <v>1759</v>
      </c>
      <c r="J145" s="831">
        <v>8</v>
      </c>
      <c r="K145" s="832">
        <f>ROUND(100+(J145-J140)*K139*100,1)</f>
        <v>99.2</v>
      </c>
    </row>
    <row r="147" spans="2:11">
      <c r="B147" s="1780" t="s">
        <v>1763</v>
      </c>
    </row>
    <row r="148" spans="2:11">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29"/>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1462</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251875.15999999997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516" t="s">
        <v>1774</v>
      </c>
      <c r="Q4" s="3517"/>
      <c r="R4" s="3520" t="s">
        <v>1770</v>
      </c>
      <c r="S4" s="3521"/>
      <c r="T4" s="3520" t="s">
        <v>1771</v>
      </c>
      <c r="U4" s="3521"/>
      <c r="V4" s="3522" t="s">
        <v>1772</v>
      </c>
      <c r="W4" s="3522"/>
      <c r="X4" s="1808"/>
      <c r="Y4" s="3520" t="s">
        <v>1774</v>
      </c>
      <c r="Z4" s="3521"/>
      <c r="AA4" s="3524" t="s">
        <v>1770</v>
      </c>
      <c r="AB4" s="3524" t="s">
        <v>1771</v>
      </c>
      <c r="AC4" s="3513" t="s">
        <v>1772</v>
      </c>
    </row>
    <row r="5" spans="1:29" ht="15">
      <c r="A5" s="348"/>
      <c r="B5" s="349"/>
      <c r="C5" s="3501" t="s">
        <v>1672</v>
      </c>
      <c r="D5" s="3502"/>
      <c r="E5" s="3508" t="s">
        <v>1673</v>
      </c>
      <c r="F5" s="3509"/>
      <c r="G5" s="3501" t="s">
        <v>1674</v>
      </c>
      <c r="H5" s="3502"/>
      <c r="I5" s="3501" t="s">
        <v>1675</v>
      </c>
      <c r="J5" s="3502"/>
      <c r="K5" s="537"/>
      <c r="L5" s="2486"/>
      <c r="M5" s="2487"/>
      <c r="N5" s="2487"/>
      <c r="O5" s="2487"/>
      <c r="P5" s="3518"/>
      <c r="Q5" s="3490"/>
      <c r="R5" s="3495"/>
      <c r="S5" s="3496"/>
      <c r="T5" s="3495"/>
      <c r="U5" s="3496"/>
      <c r="V5" s="3469"/>
      <c r="W5" s="3469"/>
      <c r="X5" s="1264"/>
      <c r="Y5" s="3495"/>
      <c r="Z5" s="3496"/>
      <c r="AA5" s="3481"/>
      <c r="AB5" s="3481"/>
      <c r="AC5" s="3514"/>
    </row>
    <row r="6" spans="1:29" ht="15.75" thickBot="1">
      <c r="A6" s="350"/>
      <c r="B6" s="351"/>
      <c r="C6" s="3499" t="s">
        <v>1676</v>
      </c>
      <c r="D6" s="3500"/>
      <c r="E6" s="3506" t="s">
        <v>1676</v>
      </c>
      <c r="F6" s="3507"/>
      <c r="G6" s="3499" t="s">
        <v>1676</v>
      </c>
      <c r="H6" s="3500"/>
      <c r="I6" s="3499" t="s">
        <v>1676</v>
      </c>
      <c r="J6" s="3500"/>
      <c r="K6" s="537" t="s">
        <v>1677</v>
      </c>
      <c r="L6" s="2486"/>
      <c r="M6" s="2487"/>
      <c r="N6" s="2487"/>
      <c r="O6" s="2487"/>
      <c r="P6" s="3519"/>
      <c r="Q6" s="3492"/>
      <c r="R6" s="3495"/>
      <c r="S6" s="3496"/>
      <c r="T6" s="3497"/>
      <c r="U6" s="3498"/>
      <c r="V6" s="3469"/>
      <c r="W6" s="3469"/>
      <c r="X6" s="1264"/>
      <c r="Y6" s="3497"/>
      <c r="Z6" s="3498"/>
      <c r="AA6" s="3482"/>
      <c r="AB6" s="3482"/>
      <c r="AC6" s="3515"/>
    </row>
    <row r="7" spans="1:29" s="102" customFormat="1" ht="15.75" thickBot="1">
      <c r="A7" s="352" t="s">
        <v>1678</v>
      </c>
      <c r="B7" s="353"/>
      <c r="C7" s="354">
        <f>'数据-取费表'!B2</f>
        <v>45792</v>
      </c>
      <c r="D7" s="355">
        <v>100</v>
      </c>
      <c r="E7" s="356"/>
      <c r="F7" s="357">
        <f>SUMIF(59:59,YEAR(E7)&amp;"-"&amp;MONTH(E7),60:60)</f>
        <v>0</v>
      </c>
      <c r="G7" s="356"/>
      <c r="H7" s="355">
        <f>SUMIF(59:59,YEAR(G7)&amp;"-"&amp;MONTH(G7),60:60)</f>
        <v>0</v>
      </c>
      <c r="I7" s="356"/>
      <c r="J7" s="355">
        <f>SUMIF(59:59,YEAR(I7)&amp;"-"&amp;MONTH(I7),60:60)</f>
        <v>0</v>
      </c>
      <c r="K7" s="38"/>
      <c r="L7" s="2488"/>
      <c r="M7" s="2439"/>
      <c r="N7" s="2439"/>
      <c r="O7" s="2439"/>
      <c r="P7" s="3523" t="s">
        <v>1679</v>
      </c>
      <c r="Q7" s="3505"/>
      <c r="R7" s="664" t="s">
        <v>14</v>
      </c>
      <c r="S7" s="665">
        <f t="shared" ref="S7:S15" si="0">F7</f>
        <v>0</v>
      </c>
      <c r="T7" s="664" t="s">
        <v>14</v>
      </c>
      <c r="U7" s="665">
        <f t="shared" ref="U7:U15" si="1">H7</f>
        <v>0</v>
      </c>
      <c r="V7" s="664" t="s">
        <v>14</v>
      </c>
      <c r="W7" s="665">
        <f t="shared" ref="W7:W15" si="2">J7</f>
        <v>0</v>
      </c>
      <c r="X7" s="666"/>
      <c r="Y7" s="3503" t="s">
        <v>1679</v>
      </c>
      <c r="Z7" s="3504"/>
      <c r="AA7" s="50" t="e">
        <f>D7/F7</f>
        <v>#DIV/0!</v>
      </c>
      <c r="AB7" s="50" t="e">
        <f>D7/H7</f>
        <v>#DIV/0!</v>
      </c>
      <c r="AC7" s="802"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23" t="s">
        <v>1682</v>
      </c>
      <c r="Q8" s="3504"/>
      <c r="R8" s="664" t="s">
        <v>14</v>
      </c>
      <c r="S8" s="665">
        <f t="shared" si="0"/>
        <v>100</v>
      </c>
      <c r="T8" s="664" t="s">
        <v>14</v>
      </c>
      <c r="U8" s="665">
        <f t="shared" si="1"/>
        <v>100</v>
      </c>
      <c r="V8" s="664" t="s">
        <v>14</v>
      </c>
      <c r="W8" s="665">
        <f t="shared" si="2"/>
        <v>100</v>
      </c>
      <c r="X8" s="666"/>
      <c r="Y8" s="3503" t="s">
        <v>1682</v>
      </c>
      <c r="Z8" s="3504"/>
      <c r="AA8" s="50">
        <f t="shared" ref="AA8:AA47" si="3">D8/F8</f>
        <v>1</v>
      </c>
      <c r="AB8" s="50">
        <f t="shared" ref="AB8:AB47" si="4">D8/H8</f>
        <v>1</v>
      </c>
      <c r="AC8" s="802">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79" t="s">
        <v>1685</v>
      </c>
      <c r="Q9" s="530" t="str">
        <f t="shared" ref="Q9:Q15" si="6">B9</f>
        <v>用途</v>
      </c>
      <c r="R9" s="664" t="s">
        <v>14</v>
      </c>
      <c r="S9" s="665">
        <f t="shared" si="0"/>
        <v>100</v>
      </c>
      <c r="T9" s="664" t="s">
        <v>14</v>
      </c>
      <c r="U9" s="665">
        <f t="shared" si="1"/>
        <v>100</v>
      </c>
      <c r="V9" s="664" t="s">
        <v>14</v>
      </c>
      <c r="W9" s="665">
        <f t="shared" si="2"/>
        <v>100</v>
      </c>
      <c r="X9" s="666"/>
      <c r="Y9" s="3343" t="s">
        <v>1686</v>
      </c>
      <c r="Z9" s="50" t="str">
        <f t="shared" ref="Z9:Z15" si="7">Q9</f>
        <v>用途</v>
      </c>
      <c r="AA9" s="50">
        <f t="shared" si="3"/>
        <v>1</v>
      </c>
      <c r="AB9" s="50">
        <f t="shared" si="4"/>
        <v>1</v>
      </c>
      <c r="AC9" s="802">
        <f t="shared" si="5"/>
        <v>1</v>
      </c>
    </row>
    <row r="10" spans="1:29" s="366" customFormat="1" ht="27">
      <c r="A10" s="363"/>
      <c r="B10" s="364" t="s">
        <v>1687</v>
      </c>
      <c r="C10" s="3130"/>
      <c r="D10" s="119">
        <v>100</v>
      </c>
      <c r="E10" s="3130"/>
      <c r="F10" s="119">
        <f>SUMIF(66:66,E10,67:67)-SUMIF(66:66,C10,67:67)+100</f>
        <v>100</v>
      </c>
      <c r="G10" s="3131"/>
      <c r="H10" s="119">
        <f>SUMIF(66:66,G10,67:67)-SUMIF(66:66,C10,67:67)+100</f>
        <v>100</v>
      </c>
      <c r="I10" s="3130"/>
      <c r="J10" s="119">
        <f>SUMIF(66:66,I10,67:67)-SUMIF(66:66,C10,67:67)+100</f>
        <v>100</v>
      </c>
      <c r="K10" s="38"/>
      <c r="L10" s="2489"/>
      <c r="M10" s="2490"/>
      <c r="N10" s="2490"/>
      <c r="O10" s="2490"/>
      <c r="P10" s="3479"/>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79"/>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79"/>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79"/>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79"/>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802">
        <f t="shared" si="5"/>
        <v>1</v>
      </c>
    </row>
    <row r="15" spans="1:29" ht="15">
      <c r="A15" s="379" t="s">
        <v>1689</v>
      </c>
      <c r="B15" s="554"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77" t="s">
        <v>1690</v>
      </c>
      <c r="Q15" s="1262" t="str">
        <f t="shared" si="6"/>
        <v>办公集聚程度</v>
      </c>
      <c r="R15" s="667" t="s">
        <v>14</v>
      </c>
      <c r="S15" s="668">
        <f t="shared" si="0"/>
        <v>100</v>
      </c>
      <c r="T15" s="667" t="s">
        <v>14</v>
      </c>
      <c r="U15" s="668">
        <f t="shared" si="1"/>
        <v>100</v>
      </c>
      <c r="V15" s="667" t="s">
        <v>14</v>
      </c>
      <c r="W15" s="668">
        <f t="shared" si="2"/>
        <v>100</v>
      </c>
      <c r="X15" s="1264"/>
      <c r="Y15" s="3470" t="s">
        <v>1690</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78"/>
      <c r="Q16" s="1262"/>
      <c r="R16" s="667"/>
      <c r="S16" s="668"/>
      <c r="T16" s="667"/>
      <c r="U16" s="668"/>
      <c r="V16" s="667"/>
      <c r="W16" s="668"/>
      <c r="X16" s="1264"/>
      <c r="Y16" s="3471"/>
      <c r="Z16" s="1263"/>
      <c r="AA16" s="1263">
        <v>1</v>
      </c>
      <c r="AB16" s="1263">
        <v>1</v>
      </c>
      <c r="AC16" s="1811">
        <v>1</v>
      </c>
    </row>
    <row r="17" spans="1:29" ht="15">
      <c r="A17" s="367"/>
      <c r="B17" s="556"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78"/>
      <c r="Q17" s="1262" t="str">
        <f>B17</f>
        <v>交通便捷度</v>
      </c>
      <c r="R17" s="667" t="s">
        <v>14</v>
      </c>
      <c r="S17" s="668">
        <f>F17</f>
        <v>100</v>
      </c>
      <c r="T17" s="667" t="s">
        <v>14</v>
      </c>
      <c r="U17" s="668">
        <f>H17</f>
        <v>100</v>
      </c>
      <c r="V17" s="667" t="s">
        <v>14</v>
      </c>
      <c r="W17" s="668">
        <f>J17</f>
        <v>100</v>
      </c>
      <c r="X17" s="1264"/>
      <c r="Y17" s="347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78"/>
      <c r="Q18" s="1262"/>
      <c r="R18" s="667"/>
      <c r="S18" s="668"/>
      <c r="T18" s="667"/>
      <c r="U18" s="668"/>
      <c r="V18" s="667"/>
      <c r="W18" s="668"/>
      <c r="X18" s="1264"/>
      <c r="Y18" s="3471"/>
      <c r="Z18" s="1263"/>
      <c r="AA18" s="1263">
        <v>1</v>
      </c>
      <c r="AB18" s="1263">
        <v>1</v>
      </c>
      <c r="AC18" s="1811">
        <v>1</v>
      </c>
    </row>
    <row r="19" spans="1:29" ht="15">
      <c r="A19" s="367"/>
      <c r="B19" s="556"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78"/>
      <c r="Q19" s="1262" t="str">
        <f>B19</f>
        <v>公共配套设施</v>
      </c>
      <c r="R19" s="667" t="s">
        <v>14</v>
      </c>
      <c r="S19" s="668">
        <f>F19</f>
        <v>100</v>
      </c>
      <c r="T19" s="667" t="s">
        <v>14</v>
      </c>
      <c r="U19" s="668">
        <f>H19</f>
        <v>100</v>
      </c>
      <c r="V19" s="667" t="s">
        <v>14</v>
      </c>
      <c r="W19" s="668">
        <f>J19</f>
        <v>100</v>
      </c>
      <c r="X19" s="1264"/>
      <c r="Y19" s="347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78"/>
      <c r="Q20" s="1262"/>
      <c r="R20" s="667"/>
      <c r="S20" s="668"/>
      <c r="T20" s="667"/>
      <c r="U20" s="668"/>
      <c r="V20" s="667"/>
      <c r="W20" s="668"/>
      <c r="X20" s="1264"/>
      <c r="Y20" s="3471"/>
      <c r="Z20" s="1263"/>
      <c r="AA20" s="1263">
        <v>1</v>
      </c>
      <c r="AB20" s="1263">
        <v>1</v>
      </c>
      <c r="AC20" s="1811">
        <v>1</v>
      </c>
    </row>
    <row r="21" spans="1:29" ht="15">
      <c r="A21" s="367"/>
      <c r="B21" s="557"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78"/>
      <c r="Q21" s="1262" t="str">
        <f>B21</f>
        <v>基础设施水平</v>
      </c>
      <c r="R21" s="667" t="s">
        <v>14</v>
      </c>
      <c r="S21" s="668">
        <f>F21</f>
        <v>100</v>
      </c>
      <c r="T21" s="667" t="s">
        <v>14</v>
      </c>
      <c r="U21" s="668">
        <f>H21</f>
        <v>100</v>
      </c>
      <c r="V21" s="667" t="s">
        <v>14</v>
      </c>
      <c r="W21" s="668">
        <f>J21</f>
        <v>100</v>
      </c>
      <c r="X21" s="1264"/>
      <c r="Y21" s="347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78"/>
      <c r="Q22" s="1262"/>
      <c r="R22" s="667"/>
      <c r="S22" s="668"/>
      <c r="T22" s="667"/>
      <c r="U22" s="668"/>
      <c r="V22" s="667"/>
      <c r="W22" s="668"/>
      <c r="X22" s="1264"/>
      <c r="Y22" s="3471"/>
      <c r="Z22" s="1263"/>
      <c r="AA22" s="1263">
        <v>1</v>
      </c>
      <c r="AB22" s="1263">
        <v>1</v>
      </c>
      <c r="AC22" s="1811">
        <v>1</v>
      </c>
    </row>
    <row r="23" spans="1:29" ht="15">
      <c r="A23" s="367"/>
      <c r="B23" s="556"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78"/>
      <c r="Q23" s="1262" t="str">
        <f>B23</f>
        <v>环境质量</v>
      </c>
      <c r="R23" s="667" t="s">
        <v>14</v>
      </c>
      <c r="S23" s="668">
        <f>F23</f>
        <v>100</v>
      </c>
      <c r="T23" s="667" t="s">
        <v>14</v>
      </c>
      <c r="U23" s="668">
        <f>H23</f>
        <v>100</v>
      </c>
      <c r="V23" s="667" t="s">
        <v>14</v>
      </c>
      <c r="W23" s="668">
        <f>J23</f>
        <v>100</v>
      </c>
      <c r="X23" s="1264"/>
      <c r="Y23" s="347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78"/>
      <c r="Q24" s="1262"/>
      <c r="R24" s="667"/>
      <c r="S24" s="668"/>
      <c r="T24" s="667"/>
      <c r="U24" s="668"/>
      <c r="V24" s="667"/>
      <c r="W24" s="668"/>
      <c r="X24" s="1264"/>
      <c r="Y24" s="3471"/>
      <c r="Z24" s="1263"/>
      <c r="AA24" s="1263">
        <v>1</v>
      </c>
      <c r="AB24" s="1263">
        <v>1</v>
      </c>
      <c r="AC24" s="1811">
        <v>1</v>
      </c>
    </row>
    <row r="25" spans="1:29" ht="27">
      <c r="A25" s="348"/>
      <c r="B25" s="556"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78"/>
      <c r="Q25" s="1262" t="str">
        <f>B25</f>
        <v>毗邻道路的类型与等级</v>
      </c>
      <c r="R25" s="667" t="s">
        <v>14</v>
      </c>
      <c r="S25" s="668">
        <f>F25</f>
        <v>100</v>
      </c>
      <c r="T25" s="667" t="s">
        <v>14</v>
      </c>
      <c r="U25" s="668">
        <f>H25</f>
        <v>100</v>
      </c>
      <c r="V25" s="667" t="s">
        <v>14</v>
      </c>
      <c r="W25" s="668">
        <f>J25</f>
        <v>100</v>
      </c>
      <c r="X25" s="1264"/>
      <c r="Y25" s="347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78"/>
      <c r="Q26" s="1262"/>
      <c r="R26" s="667"/>
      <c r="S26" s="668"/>
      <c r="T26" s="667"/>
      <c r="U26" s="668"/>
      <c r="V26" s="667"/>
      <c r="W26" s="668"/>
      <c r="X26" s="1264"/>
      <c r="Y26" s="3471"/>
      <c r="Z26" s="1263"/>
      <c r="AA26" s="1263">
        <v>1</v>
      </c>
      <c r="AB26" s="1263">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78"/>
      <c r="Q27" s="1262" t="str">
        <f t="shared" ref="Q27:Q47" si="11">B27</f>
        <v>楼层</v>
      </c>
      <c r="R27" s="667" t="s">
        <v>14</v>
      </c>
      <c r="S27" s="668">
        <f>F27</f>
        <v>100</v>
      </c>
      <c r="T27" s="667" t="s">
        <v>14</v>
      </c>
      <c r="U27" s="668">
        <f>H27</f>
        <v>100</v>
      </c>
      <c r="V27" s="667" t="s">
        <v>14</v>
      </c>
      <c r="W27" s="668">
        <f>J27</f>
        <v>100</v>
      </c>
      <c r="X27" s="1264"/>
      <c r="Y27" s="3471"/>
      <c r="Z27" s="1263" t="str">
        <f>Q27</f>
        <v>楼层</v>
      </c>
      <c r="AA27" s="1263">
        <f t="shared" si="3"/>
        <v>1</v>
      </c>
      <c r="AB27" s="1263">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78"/>
      <c r="Q28" s="530" t="str">
        <f t="shared" si="11"/>
        <v>朝向</v>
      </c>
      <c r="R28" s="664" t="s">
        <v>14</v>
      </c>
      <c r="S28" s="665">
        <f>F28</f>
        <v>100</v>
      </c>
      <c r="T28" s="664" t="s">
        <v>14</v>
      </c>
      <c r="U28" s="665">
        <f>H28</f>
        <v>100</v>
      </c>
      <c r="V28" s="664" t="s">
        <v>14</v>
      </c>
      <c r="W28" s="665">
        <f>J28</f>
        <v>100</v>
      </c>
      <c r="X28" s="666"/>
      <c r="Y28" s="347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78"/>
      <c r="Q29" s="1262">
        <f t="shared" si="11"/>
        <v>111</v>
      </c>
      <c r="R29" s="667" t="s">
        <v>14</v>
      </c>
      <c r="S29" s="668">
        <f t="shared" ref="S29:S47" si="12">F29</f>
        <v>100</v>
      </c>
      <c r="T29" s="667" t="s">
        <v>14</v>
      </c>
      <c r="U29" s="668">
        <f t="shared" ref="U29:U47" si="13">H29</f>
        <v>100</v>
      </c>
      <c r="V29" s="667" t="s">
        <v>14</v>
      </c>
      <c r="W29" s="668">
        <f t="shared" ref="W29:W47" si="14">J29</f>
        <v>100</v>
      </c>
      <c r="X29" s="1264"/>
      <c r="Y29" s="347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78"/>
      <c r="Q30" s="1262">
        <f t="shared" si="11"/>
        <v>111</v>
      </c>
      <c r="R30" s="667" t="s">
        <v>14</v>
      </c>
      <c r="S30" s="668">
        <f t="shared" si="12"/>
        <v>100</v>
      </c>
      <c r="T30" s="667" t="s">
        <v>14</v>
      </c>
      <c r="U30" s="668">
        <f t="shared" si="13"/>
        <v>100</v>
      </c>
      <c r="V30" s="667" t="s">
        <v>14</v>
      </c>
      <c r="W30" s="668">
        <f t="shared" si="14"/>
        <v>100</v>
      </c>
      <c r="X30" s="1264"/>
      <c r="Y30" s="347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78"/>
      <c r="Q31" s="1262">
        <f t="shared" si="11"/>
        <v>111</v>
      </c>
      <c r="R31" s="667" t="s">
        <v>14</v>
      </c>
      <c r="S31" s="668">
        <f t="shared" si="12"/>
        <v>100</v>
      </c>
      <c r="T31" s="667" t="s">
        <v>14</v>
      </c>
      <c r="U31" s="668">
        <f t="shared" si="13"/>
        <v>100</v>
      </c>
      <c r="V31" s="667" t="s">
        <v>14</v>
      </c>
      <c r="W31" s="668">
        <f t="shared" si="14"/>
        <v>100</v>
      </c>
      <c r="X31" s="1264"/>
      <c r="Y31" s="347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78"/>
      <c r="Q32" s="1262">
        <f t="shared" si="11"/>
        <v>111</v>
      </c>
      <c r="R32" s="667" t="s">
        <v>14</v>
      </c>
      <c r="S32" s="668">
        <f t="shared" si="12"/>
        <v>100</v>
      </c>
      <c r="T32" s="667" t="s">
        <v>14</v>
      </c>
      <c r="U32" s="668">
        <f t="shared" si="13"/>
        <v>100</v>
      </c>
      <c r="V32" s="667" t="s">
        <v>14</v>
      </c>
      <c r="W32" s="668">
        <f t="shared" si="14"/>
        <v>100</v>
      </c>
      <c r="X32" s="1264"/>
      <c r="Y32" s="3471"/>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72" t="s">
        <v>1695</v>
      </c>
      <c r="Q33" s="1262" t="str">
        <f t="shared" si="11"/>
        <v>建筑类型</v>
      </c>
      <c r="R33" s="667" t="s">
        <v>14</v>
      </c>
      <c r="S33" s="668">
        <f t="shared" si="12"/>
        <v>100</v>
      </c>
      <c r="T33" s="667" t="s">
        <v>14</v>
      </c>
      <c r="U33" s="668">
        <f t="shared" si="13"/>
        <v>100</v>
      </c>
      <c r="V33" s="667" t="s">
        <v>14</v>
      </c>
      <c r="W33" s="668">
        <f t="shared" si="14"/>
        <v>100</v>
      </c>
      <c r="X33" s="1264"/>
      <c r="Y33" s="3475"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73"/>
      <c r="Q34" s="531" t="str">
        <f t="shared" si="11"/>
        <v>项目建筑规模</v>
      </c>
      <c r="R34" s="669" t="s">
        <v>14</v>
      </c>
      <c r="S34" s="670" t="e">
        <f t="shared" si="12"/>
        <v>#N/A</v>
      </c>
      <c r="T34" s="669" t="s">
        <v>14</v>
      </c>
      <c r="U34" s="670" t="e">
        <f t="shared" si="13"/>
        <v>#N/A</v>
      </c>
      <c r="V34" s="669" t="s">
        <v>14</v>
      </c>
      <c r="W34" s="670" t="e">
        <f t="shared" si="14"/>
        <v>#N/A</v>
      </c>
      <c r="X34" s="671"/>
      <c r="Y34" s="3475"/>
      <c r="Z34" s="672"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73"/>
      <c r="Q35" s="1262" t="str">
        <f t="shared" si="11"/>
        <v>建筑结构</v>
      </c>
      <c r="R35" s="667" t="s">
        <v>14</v>
      </c>
      <c r="S35" s="668">
        <f t="shared" si="12"/>
        <v>100</v>
      </c>
      <c r="T35" s="667" t="s">
        <v>14</v>
      </c>
      <c r="U35" s="668">
        <f t="shared" si="13"/>
        <v>100</v>
      </c>
      <c r="V35" s="667" t="s">
        <v>14</v>
      </c>
      <c r="W35" s="668">
        <f t="shared" si="14"/>
        <v>100</v>
      </c>
      <c r="X35" s="1264"/>
      <c r="Y35" s="3475"/>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73"/>
      <c r="Q36" s="1262" t="str">
        <f t="shared" si="11"/>
        <v>公共部分装修</v>
      </c>
      <c r="R36" s="667" t="s">
        <v>14</v>
      </c>
      <c r="S36" s="668">
        <f t="shared" si="12"/>
        <v>100</v>
      </c>
      <c r="T36" s="667" t="s">
        <v>14</v>
      </c>
      <c r="U36" s="668">
        <f t="shared" si="13"/>
        <v>100</v>
      </c>
      <c r="V36" s="667" t="s">
        <v>14</v>
      </c>
      <c r="W36" s="668">
        <f t="shared" si="14"/>
        <v>100</v>
      </c>
      <c r="X36" s="1264"/>
      <c r="Y36" s="3475"/>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73"/>
      <c r="Q37" s="1262" t="str">
        <f t="shared" si="11"/>
        <v>成新度</v>
      </c>
      <c r="R37" s="667" t="s">
        <v>14</v>
      </c>
      <c r="S37" s="668" t="e">
        <f t="shared" si="12"/>
        <v>#N/A</v>
      </c>
      <c r="T37" s="667" t="s">
        <v>14</v>
      </c>
      <c r="U37" s="668" t="e">
        <f t="shared" si="13"/>
        <v>#N/A</v>
      </c>
      <c r="V37" s="667" t="s">
        <v>14</v>
      </c>
      <c r="W37" s="668" t="e">
        <f t="shared" si="14"/>
        <v>#N/A</v>
      </c>
      <c r="X37" s="1264"/>
      <c r="Y37" s="3475"/>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73"/>
      <c r="Q38" s="530" t="str">
        <f t="shared" si="11"/>
        <v>写字楼等级</v>
      </c>
      <c r="R38" s="664" t="s">
        <v>14</v>
      </c>
      <c r="S38" s="665">
        <f t="shared" si="12"/>
        <v>100</v>
      </c>
      <c r="T38" s="664" t="s">
        <v>14</v>
      </c>
      <c r="U38" s="665">
        <f t="shared" si="13"/>
        <v>100</v>
      </c>
      <c r="V38" s="664" t="s">
        <v>14</v>
      </c>
      <c r="W38" s="665">
        <f t="shared" si="14"/>
        <v>100</v>
      </c>
      <c r="X38" s="666"/>
      <c r="Y38" s="3475"/>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73" t="s">
        <v>1695</v>
      </c>
      <c r="Q39" s="1262" t="str">
        <f t="shared" si="11"/>
        <v>物业管理</v>
      </c>
      <c r="R39" s="667" t="s">
        <v>14</v>
      </c>
      <c r="S39" s="668">
        <f t="shared" si="12"/>
        <v>100</v>
      </c>
      <c r="T39" s="667" t="s">
        <v>14</v>
      </c>
      <c r="U39" s="668">
        <f t="shared" si="13"/>
        <v>100</v>
      </c>
      <c r="V39" s="667" t="s">
        <v>14</v>
      </c>
      <c r="W39" s="668">
        <f t="shared" si="14"/>
        <v>100</v>
      </c>
      <c r="X39" s="1264"/>
      <c r="Y39" s="3475"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73"/>
      <c r="Q40" s="1262" t="str">
        <f t="shared" si="11"/>
        <v>市政基础设施</v>
      </c>
      <c r="R40" s="667" t="s">
        <v>14</v>
      </c>
      <c r="S40" s="668">
        <f t="shared" si="12"/>
        <v>100</v>
      </c>
      <c r="T40" s="667" t="s">
        <v>14</v>
      </c>
      <c r="U40" s="668">
        <f t="shared" si="13"/>
        <v>100</v>
      </c>
      <c r="V40" s="667" t="s">
        <v>14</v>
      </c>
      <c r="W40" s="668">
        <f t="shared" si="14"/>
        <v>100</v>
      </c>
      <c r="X40" s="1264"/>
      <c r="Y40" s="3475"/>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73"/>
      <c r="Q41" s="1262" t="str">
        <f t="shared" si="11"/>
        <v>层高</v>
      </c>
      <c r="R41" s="667" t="s">
        <v>14</v>
      </c>
      <c r="S41" s="668">
        <f t="shared" si="12"/>
        <v>100</v>
      </c>
      <c r="T41" s="667" t="s">
        <v>14</v>
      </c>
      <c r="U41" s="668">
        <f t="shared" si="13"/>
        <v>100</v>
      </c>
      <c r="V41" s="667" t="s">
        <v>14</v>
      </c>
      <c r="W41" s="668">
        <f t="shared" si="14"/>
        <v>100</v>
      </c>
      <c r="X41" s="1264"/>
      <c r="Y41" s="3475"/>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73"/>
      <c r="Q42" s="531" t="str">
        <f t="shared" si="11"/>
        <v>单套建筑面积</v>
      </c>
      <c r="R42" s="669" t="s">
        <v>14</v>
      </c>
      <c r="S42" s="670">
        <f t="shared" si="12"/>
        <v>100</v>
      </c>
      <c r="T42" s="669" t="s">
        <v>14</v>
      </c>
      <c r="U42" s="670">
        <f t="shared" si="13"/>
        <v>100</v>
      </c>
      <c r="V42" s="669" t="s">
        <v>14</v>
      </c>
      <c r="W42" s="670">
        <f t="shared" si="14"/>
        <v>100</v>
      </c>
      <c r="X42" s="671"/>
      <c r="Y42" s="3475"/>
      <c r="Z42" s="672"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73"/>
      <c r="Q43" s="1262" t="str">
        <f t="shared" si="11"/>
        <v>内部装修</v>
      </c>
      <c r="R43" s="667" t="s">
        <v>14</v>
      </c>
      <c r="S43" s="668">
        <f t="shared" si="12"/>
        <v>100</v>
      </c>
      <c r="T43" s="667" t="s">
        <v>14</v>
      </c>
      <c r="U43" s="668">
        <f t="shared" si="13"/>
        <v>100</v>
      </c>
      <c r="V43" s="667" t="s">
        <v>14</v>
      </c>
      <c r="W43" s="668">
        <f t="shared" si="14"/>
        <v>100</v>
      </c>
      <c r="X43" s="1264"/>
      <c r="Y43" s="3475"/>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73"/>
      <c r="Q44" s="1262" t="str">
        <f t="shared" si="11"/>
        <v>内部装修维护情况</v>
      </c>
      <c r="R44" s="667" t="s">
        <v>14</v>
      </c>
      <c r="S44" s="668">
        <f t="shared" si="12"/>
        <v>100</v>
      </c>
      <c r="T44" s="667" t="s">
        <v>14</v>
      </c>
      <c r="U44" s="668">
        <f t="shared" si="13"/>
        <v>100</v>
      </c>
      <c r="V44" s="667" t="s">
        <v>14</v>
      </c>
      <c r="W44" s="668">
        <f t="shared" si="14"/>
        <v>100</v>
      </c>
      <c r="X44" s="1264"/>
      <c r="Y44" s="3475"/>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73"/>
      <c r="Q45" s="530">
        <f t="shared" si="11"/>
        <v>111</v>
      </c>
      <c r="R45" s="664" t="s">
        <v>14</v>
      </c>
      <c r="S45" s="665">
        <f t="shared" si="12"/>
        <v>100</v>
      </c>
      <c r="T45" s="664" t="s">
        <v>14</v>
      </c>
      <c r="U45" s="665">
        <f t="shared" si="13"/>
        <v>100</v>
      </c>
      <c r="V45" s="664" t="s">
        <v>14</v>
      </c>
      <c r="W45" s="665">
        <f t="shared" si="14"/>
        <v>100</v>
      </c>
      <c r="X45" s="666"/>
      <c r="Y45" s="34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73"/>
      <c r="Q46" s="1262">
        <f t="shared" si="11"/>
        <v>111</v>
      </c>
      <c r="R46" s="667" t="s">
        <v>14</v>
      </c>
      <c r="S46" s="668">
        <f t="shared" si="12"/>
        <v>100</v>
      </c>
      <c r="T46" s="667" t="s">
        <v>14</v>
      </c>
      <c r="U46" s="668">
        <f t="shared" si="13"/>
        <v>100</v>
      </c>
      <c r="V46" s="667" t="s">
        <v>14</v>
      </c>
      <c r="W46" s="668">
        <f t="shared" si="14"/>
        <v>100</v>
      </c>
      <c r="X46" s="1264"/>
      <c r="Y46" s="347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74"/>
      <c r="Q47" s="1262">
        <f t="shared" si="11"/>
        <v>111</v>
      </c>
      <c r="R47" s="667" t="s">
        <v>14</v>
      </c>
      <c r="S47" s="668">
        <f t="shared" si="12"/>
        <v>100</v>
      </c>
      <c r="T47" s="667" t="s">
        <v>14</v>
      </c>
      <c r="U47" s="668">
        <f t="shared" si="13"/>
        <v>100</v>
      </c>
      <c r="V47" s="667" t="s">
        <v>14</v>
      </c>
      <c r="W47" s="668">
        <f t="shared" si="14"/>
        <v>100</v>
      </c>
      <c r="X47" s="1264"/>
      <c r="Y47" s="3476"/>
      <c r="Z47" s="1263">
        <f t="shared" si="15"/>
        <v>111</v>
      </c>
      <c r="AA47" s="1263">
        <f t="shared" si="3"/>
        <v>1</v>
      </c>
      <c r="AB47" s="1263">
        <f t="shared" si="4"/>
        <v>1</v>
      </c>
      <c r="AC47" s="1811">
        <f t="shared" si="5"/>
        <v>1</v>
      </c>
    </row>
    <row r="48" spans="1:29" ht="15">
      <c r="A48" s="416" t="s">
        <v>1707</v>
      </c>
      <c r="B48" s="417"/>
      <c r="C48" s="1081" t="s">
        <v>0</v>
      </c>
      <c r="D48" s="418"/>
      <c r="E48" s="419"/>
      <c r="F48" s="420"/>
      <c r="G48" s="421"/>
      <c r="H48" s="422"/>
      <c r="I48" s="419"/>
      <c r="J48" s="422"/>
      <c r="K48" s="674"/>
      <c r="L48" s="2494"/>
      <c r="M48" s="2487"/>
      <c r="N48" s="2487"/>
      <c r="O48" s="2487"/>
      <c r="P48" s="3479" t="str">
        <f>A48</f>
        <v>成交单价（元/平方米）</v>
      </c>
      <c r="Q48" s="3468"/>
      <c r="R48" s="3469">
        <f>E48</f>
        <v>0</v>
      </c>
      <c r="S48" s="3469"/>
      <c r="T48" s="3469">
        <f>G48</f>
        <v>0</v>
      </c>
      <c r="U48" s="3469"/>
      <c r="V48" s="3469">
        <f>I48</f>
        <v>0</v>
      </c>
      <c r="W48" s="3469"/>
      <c r="X48" s="385"/>
      <c r="Y48" s="673"/>
      <c r="Z48" s="385"/>
      <c r="AA48" s="385"/>
      <c r="AB48" s="385"/>
      <c r="AC48" s="555"/>
    </row>
    <row r="49" spans="1:29" ht="15.75" thickBot="1">
      <c r="A49" s="423" t="s">
        <v>1792</v>
      </c>
      <c r="B49" s="424"/>
      <c r="C49" s="1082" t="e">
        <f>R50</f>
        <v>#DIV/0!</v>
      </c>
      <c r="D49" s="2140" t="s">
        <v>2137</v>
      </c>
      <c r="E49" s="1083" t="e">
        <f>R49</f>
        <v>#DIV/0!</v>
      </c>
      <c r="F49" s="2141"/>
      <c r="G49" s="1082" t="e">
        <f>T49</f>
        <v>#DIV/0!</v>
      </c>
      <c r="H49" s="2141"/>
      <c r="I49" s="1083" t="e">
        <f>V49</f>
        <v>#DIV/0!</v>
      </c>
      <c r="J49" s="2141"/>
      <c r="K49" s="2143">
        <f>F49+H49+J49</f>
        <v>0</v>
      </c>
      <c r="L49" s="2494"/>
      <c r="M49" s="2487"/>
      <c r="N49" s="2487"/>
      <c r="O49" s="2487"/>
      <c r="P49" s="3479"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385"/>
      <c r="Y49" s="385"/>
      <c r="Z49" s="385"/>
      <c r="AA49" s="385"/>
      <c r="AB49" s="385"/>
      <c r="AC49" s="555"/>
    </row>
    <row r="50" spans="1:29" ht="15.75" thickBot="1">
      <c r="A50" s="427" t="s">
        <v>1793</v>
      </c>
      <c r="B50" s="428"/>
      <c r="C50" s="351" t="e">
        <f>R50</f>
        <v>#DIV/0!</v>
      </c>
      <c r="D50" s="351"/>
      <c r="E50" s="351"/>
      <c r="F50" s="351"/>
      <c r="G50" s="351"/>
      <c r="H50" s="351"/>
      <c r="I50" s="351"/>
      <c r="J50" s="429"/>
      <c r="K50" s="675"/>
      <c r="L50" s="2494"/>
      <c r="M50" s="2487"/>
      <c r="N50" s="2487"/>
      <c r="O50" s="2487"/>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29"/>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1462</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251875.15999999997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860"/>
      <c r="M4" s="861"/>
      <c r="N4" s="861"/>
      <c r="O4" s="861"/>
      <c r="P4" s="3487" t="s">
        <v>1774</v>
      </c>
      <c r="Q4" s="3488"/>
      <c r="R4" s="3493" t="s">
        <v>1770</v>
      </c>
      <c r="S4" s="3494"/>
      <c r="T4" s="3493" t="s">
        <v>1771</v>
      </c>
      <c r="U4" s="3494"/>
      <c r="V4" s="3469" t="s">
        <v>1772</v>
      </c>
      <c r="W4" s="3469"/>
      <c r="X4" s="1264"/>
      <c r="Y4" s="3493" t="s">
        <v>1774</v>
      </c>
      <c r="Z4" s="3494"/>
      <c r="AA4" s="3480" t="s">
        <v>1770</v>
      </c>
      <c r="AB4" s="3481" t="s">
        <v>1771</v>
      </c>
      <c r="AC4" s="3480" t="s">
        <v>1772</v>
      </c>
    </row>
    <row r="5" spans="1:29" ht="15">
      <c r="A5" s="348"/>
      <c r="B5" s="349"/>
      <c r="C5" s="3501" t="s">
        <v>1672</v>
      </c>
      <c r="D5" s="3502"/>
      <c r="E5" s="3508" t="s">
        <v>1673</v>
      </c>
      <c r="F5" s="3509"/>
      <c r="G5" s="3501" t="s">
        <v>1674</v>
      </c>
      <c r="H5" s="3502"/>
      <c r="I5" s="3501" t="s">
        <v>1675</v>
      </c>
      <c r="J5" s="3502"/>
      <c r="K5" s="537"/>
      <c r="L5" s="860"/>
      <c r="M5" s="861"/>
      <c r="N5" s="861"/>
      <c r="O5" s="861"/>
      <c r="P5" s="3489"/>
      <c r="Q5" s="3490"/>
      <c r="R5" s="3495"/>
      <c r="S5" s="3496"/>
      <c r="T5" s="3495"/>
      <c r="U5" s="3496"/>
      <c r="V5" s="3469"/>
      <c r="W5" s="3469"/>
      <c r="X5" s="1264"/>
      <c r="Y5" s="3495"/>
      <c r="Z5" s="3496"/>
      <c r="AA5" s="3481"/>
      <c r="AB5" s="3481"/>
      <c r="AC5" s="3481"/>
    </row>
    <row r="6" spans="1:29" ht="15.75" thickBot="1">
      <c r="A6" s="350"/>
      <c r="B6" s="351"/>
      <c r="C6" s="3499" t="s">
        <v>1676</v>
      </c>
      <c r="D6" s="3500"/>
      <c r="E6" s="3506" t="s">
        <v>1676</v>
      </c>
      <c r="F6" s="3507"/>
      <c r="G6" s="3499" t="s">
        <v>1676</v>
      </c>
      <c r="H6" s="3500"/>
      <c r="I6" s="3499" t="s">
        <v>1676</v>
      </c>
      <c r="J6" s="3500"/>
      <c r="K6" s="537" t="s">
        <v>1677</v>
      </c>
      <c r="L6" s="860"/>
      <c r="M6" s="861"/>
      <c r="N6" s="861"/>
      <c r="O6" s="861"/>
      <c r="P6" s="3491"/>
      <c r="Q6" s="3492"/>
      <c r="R6" s="3495"/>
      <c r="S6" s="3496"/>
      <c r="T6" s="3497"/>
      <c r="U6" s="3498"/>
      <c r="V6" s="3469"/>
      <c r="W6" s="3469"/>
      <c r="X6" s="1264"/>
      <c r="Y6" s="3497"/>
      <c r="Z6" s="3498"/>
      <c r="AA6" s="3482"/>
      <c r="AB6" s="3482"/>
      <c r="AC6" s="3482"/>
    </row>
    <row r="7" spans="1:29" s="102" customFormat="1" ht="15.75" thickBot="1">
      <c r="A7" s="352" t="s">
        <v>1678</v>
      </c>
      <c r="B7" s="353"/>
      <c r="C7" s="354">
        <f>'数据-取费表'!B2</f>
        <v>45792</v>
      </c>
      <c r="D7" s="355">
        <v>100</v>
      </c>
      <c r="E7" s="356"/>
      <c r="F7" s="357">
        <f>SUMIF(52:52,YEAR(E7)&amp;"-"&amp;MONTH(E7),53:53)</f>
        <v>0</v>
      </c>
      <c r="G7" s="356"/>
      <c r="H7" s="355">
        <f>SUMIF(52:52,YEAR(G7)&amp;"-"&amp;MONTH(G7),53:53)</f>
        <v>0</v>
      </c>
      <c r="I7" s="356"/>
      <c r="J7" s="355">
        <f>SUMIF(52:52,YEAR(I7)&amp;"-"&amp;MONTH(I7),53:53)</f>
        <v>0</v>
      </c>
      <c r="K7" s="38"/>
      <c r="L7" s="862"/>
      <c r="M7" s="863"/>
      <c r="N7" s="863"/>
      <c r="O7" s="863"/>
      <c r="P7" s="3503" t="s">
        <v>1679</v>
      </c>
      <c r="Q7" s="3505"/>
      <c r="R7" s="664" t="s">
        <v>14</v>
      </c>
      <c r="S7" s="665">
        <f t="shared" ref="S7:S15" si="0">F7</f>
        <v>0</v>
      </c>
      <c r="T7" s="664" t="s">
        <v>14</v>
      </c>
      <c r="U7" s="665">
        <f t="shared" ref="U7:U15" si="1">H7</f>
        <v>0</v>
      </c>
      <c r="V7" s="664" t="s">
        <v>14</v>
      </c>
      <c r="W7" s="665">
        <f t="shared" ref="W7:W15" si="2">J7</f>
        <v>0</v>
      </c>
      <c r="X7" s="666"/>
      <c r="Y7" s="3503" t="s">
        <v>1679</v>
      </c>
      <c r="Z7" s="3504"/>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03" t="s">
        <v>1682</v>
      </c>
      <c r="Q8" s="3504"/>
      <c r="R8" s="664" t="s">
        <v>14</v>
      </c>
      <c r="S8" s="665">
        <f t="shared" si="0"/>
        <v>100</v>
      </c>
      <c r="T8" s="664" t="s">
        <v>14</v>
      </c>
      <c r="U8" s="665">
        <f t="shared" si="1"/>
        <v>100</v>
      </c>
      <c r="V8" s="664" t="s">
        <v>14</v>
      </c>
      <c r="W8" s="665">
        <f t="shared" si="2"/>
        <v>100</v>
      </c>
      <c r="X8" s="666"/>
      <c r="Y8" s="3503" t="s">
        <v>1682</v>
      </c>
      <c r="Z8" s="3504"/>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8" t="s">
        <v>1685</v>
      </c>
      <c r="Q9" s="530" t="str">
        <f t="shared" ref="Q9:Q15" si="6">B9</f>
        <v>用途</v>
      </c>
      <c r="R9" s="664" t="s">
        <v>14</v>
      </c>
      <c r="S9" s="665">
        <f t="shared" si="0"/>
        <v>100</v>
      </c>
      <c r="T9" s="664" t="s">
        <v>14</v>
      </c>
      <c r="U9" s="665">
        <f t="shared" si="1"/>
        <v>100</v>
      </c>
      <c r="V9" s="664" t="s">
        <v>14</v>
      </c>
      <c r="W9" s="665">
        <f t="shared" si="2"/>
        <v>100</v>
      </c>
      <c r="X9" s="666"/>
      <c r="Y9" s="3343" t="s">
        <v>1686</v>
      </c>
      <c r="Z9" s="50" t="str">
        <f t="shared" ref="Z9:Z15" si="7">Q9</f>
        <v>用途</v>
      </c>
      <c r="AA9" s="50">
        <f t="shared" si="3"/>
        <v>1</v>
      </c>
      <c r="AB9" s="50">
        <f t="shared" si="4"/>
        <v>1</v>
      </c>
      <c r="AC9" s="50">
        <f t="shared" si="5"/>
        <v>1</v>
      </c>
    </row>
    <row r="10" spans="1:29" s="366" customFormat="1" ht="27">
      <c r="A10" s="363"/>
      <c r="B10" s="364" t="s">
        <v>1687</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68"/>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8"/>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68"/>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68"/>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15">
      <c r="A15" s="379" t="s">
        <v>1689</v>
      </c>
      <c r="B15" s="58" t="s">
        <v>1826</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0" t="s">
        <v>1690</v>
      </c>
      <c r="Q15" s="1262" t="str">
        <f t="shared" si="6"/>
        <v>产业集聚程度</v>
      </c>
      <c r="R15" s="667" t="s">
        <v>14</v>
      </c>
      <c r="S15" s="668">
        <f t="shared" si="0"/>
        <v>100</v>
      </c>
      <c r="T15" s="667" t="s">
        <v>14</v>
      </c>
      <c r="U15" s="668">
        <f t="shared" si="1"/>
        <v>100</v>
      </c>
      <c r="V15" s="667" t="s">
        <v>14</v>
      </c>
      <c r="W15" s="668">
        <f t="shared" si="2"/>
        <v>100</v>
      </c>
      <c r="X15" s="1264"/>
      <c r="Y15" s="3470"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71"/>
      <c r="Q16" s="1262"/>
      <c r="R16" s="667"/>
      <c r="S16" s="668"/>
      <c r="T16" s="667"/>
      <c r="U16" s="668"/>
      <c r="V16" s="667"/>
      <c r="W16" s="668"/>
      <c r="X16" s="1264"/>
      <c r="Y16" s="3471"/>
      <c r="Z16" s="1263"/>
      <c r="AA16" s="1263">
        <v>1</v>
      </c>
      <c r="AB16" s="1263">
        <v>1</v>
      </c>
      <c r="AC16" s="1263">
        <v>1</v>
      </c>
    </row>
    <row r="17" spans="1:29" ht="15">
      <c r="A17" s="367"/>
      <c r="B17" s="390" t="s">
        <v>1258</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1"/>
      <c r="Q17" s="1262" t="str">
        <f>B17</f>
        <v>交通便捷度</v>
      </c>
      <c r="R17" s="667" t="s">
        <v>14</v>
      </c>
      <c r="S17" s="668">
        <f>F17</f>
        <v>100</v>
      </c>
      <c r="T17" s="667" t="s">
        <v>14</v>
      </c>
      <c r="U17" s="668">
        <f>H17</f>
        <v>100</v>
      </c>
      <c r="V17" s="667" t="s">
        <v>14</v>
      </c>
      <c r="W17" s="668">
        <f>J17</f>
        <v>100</v>
      </c>
      <c r="X17" s="1264"/>
      <c r="Y17" s="34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71"/>
      <c r="Q18" s="1262"/>
      <c r="R18" s="667"/>
      <c r="S18" s="668"/>
      <c r="T18" s="667"/>
      <c r="U18" s="668"/>
      <c r="V18" s="667"/>
      <c r="W18" s="668"/>
      <c r="X18" s="1264"/>
      <c r="Y18" s="3471"/>
      <c r="Z18" s="1263"/>
      <c r="AA18" s="1263">
        <v>1</v>
      </c>
      <c r="AB18" s="1263">
        <v>1</v>
      </c>
      <c r="AC18" s="1263">
        <v>1</v>
      </c>
    </row>
    <row r="19" spans="1:29" ht="15">
      <c r="A19" s="367"/>
      <c r="B19" s="390" t="s">
        <v>1811</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1"/>
      <c r="Q19" s="1262" t="str">
        <f>B19</f>
        <v>公共配套设施</v>
      </c>
      <c r="R19" s="667" t="s">
        <v>14</v>
      </c>
      <c r="S19" s="668">
        <f>F19</f>
        <v>100</v>
      </c>
      <c r="T19" s="667" t="s">
        <v>14</v>
      </c>
      <c r="U19" s="668">
        <f>H19</f>
        <v>100</v>
      </c>
      <c r="V19" s="667" t="s">
        <v>14</v>
      </c>
      <c r="W19" s="668">
        <f>J19</f>
        <v>100</v>
      </c>
      <c r="X19" s="1264"/>
      <c r="Y19" s="34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71"/>
      <c r="Q20" s="1262"/>
      <c r="R20" s="667"/>
      <c r="S20" s="668"/>
      <c r="T20" s="667"/>
      <c r="U20" s="668"/>
      <c r="V20" s="667"/>
      <c r="W20" s="668"/>
      <c r="X20" s="1264"/>
      <c r="Y20" s="3471"/>
      <c r="Z20" s="1263"/>
      <c r="AA20" s="1263">
        <v>1</v>
      </c>
      <c r="AB20" s="1263">
        <v>1</v>
      </c>
      <c r="AC20" s="1263">
        <v>1</v>
      </c>
    </row>
    <row r="21" spans="1:29" ht="15">
      <c r="A21" s="367"/>
      <c r="B21" s="586" t="s">
        <v>1812</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1"/>
      <c r="Q21" s="1262" t="str">
        <f>B21</f>
        <v>基础设施水平</v>
      </c>
      <c r="R21" s="667" t="s">
        <v>14</v>
      </c>
      <c r="S21" s="668">
        <f>F21</f>
        <v>100</v>
      </c>
      <c r="T21" s="667" t="s">
        <v>14</v>
      </c>
      <c r="U21" s="668">
        <f>H21</f>
        <v>100</v>
      </c>
      <c r="V21" s="667" t="s">
        <v>14</v>
      </c>
      <c r="W21" s="668">
        <f>J21</f>
        <v>100</v>
      </c>
      <c r="X21" s="1264"/>
      <c r="Y21" s="34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71"/>
      <c r="Q22" s="1262"/>
      <c r="R22" s="667"/>
      <c r="S22" s="668"/>
      <c r="T22" s="667"/>
      <c r="U22" s="668"/>
      <c r="V22" s="667"/>
      <c r="W22" s="668"/>
      <c r="X22" s="1264"/>
      <c r="Y22" s="3471"/>
      <c r="Z22" s="1263"/>
      <c r="AA22" s="1263">
        <v>1</v>
      </c>
      <c r="AB22" s="1263">
        <v>1</v>
      </c>
      <c r="AC22" s="1263">
        <v>1</v>
      </c>
    </row>
    <row r="23" spans="1:29" ht="15">
      <c r="A23" s="367"/>
      <c r="B23" s="390" t="s">
        <v>1813</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1"/>
      <c r="Q23" s="1262" t="str">
        <f>B23</f>
        <v>环境质量</v>
      </c>
      <c r="R23" s="667" t="s">
        <v>14</v>
      </c>
      <c r="S23" s="668">
        <f>F23</f>
        <v>100</v>
      </c>
      <c r="T23" s="667" t="s">
        <v>14</v>
      </c>
      <c r="U23" s="668">
        <f>H23</f>
        <v>100</v>
      </c>
      <c r="V23" s="667" t="s">
        <v>14</v>
      </c>
      <c r="W23" s="668">
        <f>J23</f>
        <v>100</v>
      </c>
      <c r="X23" s="1264"/>
      <c r="Y23" s="347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71"/>
      <c r="Q24" s="1262"/>
      <c r="R24" s="667"/>
      <c r="S24" s="668"/>
      <c r="T24" s="667"/>
      <c r="U24" s="668"/>
      <c r="V24" s="667"/>
      <c r="W24" s="668"/>
      <c r="X24" s="1264"/>
      <c r="Y24" s="347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1"/>
      <c r="Q25" s="1262">
        <f>B25</f>
        <v>111</v>
      </c>
      <c r="R25" s="667" t="s">
        <v>14</v>
      </c>
      <c r="S25" s="668">
        <f>F25</f>
        <v>100</v>
      </c>
      <c r="T25" s="667" t="s">
        <v>14</v>
      </c>
      <c r="U25" s="668">
        <f>H25</f>
        <v>100</v>
      </c>
      <c r="V25" s="667" t="s">
        <v>14</v>
      </c>
      <c r="W25" s="668">
        <f>J25</f>
        <v>100</v>
      </c>
      <c r="X25" s="1264"/>
      <c r="Y25" s="347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1"/>
      <c r="Q26" s="1262">
        <f t="shared" ref="Q26:Q40" si="11">B26</f>
        <v>111</v>
      </c>
      <c r="R26" s="667" t="s">
        <v>14</v>
      </c>
      <c r="S26" s="668">
        <f>F26</f>
        <v>100</v>
      </c>
      <c r="T26" s="667" t="s">
        <v>14</v>
      </c>
      <c r="U26" s="668">
        <f>H26</f>
        <v>100</v>
      </c>
      <c r="V26" s="667" t="s">
        <v>14</v>
      </c>
      <c r="W26" s="668">
        <f>J26</f>
        <v>100</v>
      </c>
      <c r="X26" s="1264"/>
      <c r="Y26" s="347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1"/>
      <c r="Q27" s="530">
        <f t="shared" si="11"/>
        <v>111</v>
      </c>
      <c r="R27" s="664" t="s">
        <v>14</v>
      </c>
      <c r="S27" s="665">
        <f>F27</f>
        <v>100</v>
      </c>
      <c r="T27" s="664" t="s">
        <v>14</v>
      </c>
      <c r="U27" s="665">
        <f>H27</f>
        <v>100</v>
      </c>
      <c r="V27" s="664" t="s">
        <v>14</v>
      </c>
      <c r="W27" s="665">
        <f>J27</f>
        <v>100</v>
      </c>
      <c r="X27" s="666"/>
      <c r="Y27" s="347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1"/>
      <c r="Q28" s="1262">
        <f t="shared" si="11"/>
        <v>111</v>
      </c>
      <c r="R28" s="667" t="s">
        <v>14</v>
      </c>
      <c r="S28" s="668">
        <f t="shared" ref="S28:S40" si="12">F28</f>
        <v>100</v>
      </c>
      <c r="T28" s="667" t="s">
        <v>14</v>
      </c>
      <c r="U28" s="668">
        <f t="shared" ref="U28:U40" si="13">H28</f>
        <v>100</v>
      </c>
      <c r="V28" s="667" t="s">
        <v>14</v>
      </c>
      <c r="W28" s="668">
        <f t="shared" ref="W28:W40" si="14">J28</f>
        <v>100</v>
      </c>
      <c r="X28" s="1264"/>
      <c r="Y28" s="3471"/>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25" t="s">
        <v>1695</v>
      </c>
      <c r="Q29" s="1262" t="str">
        <f t="shared" si="11"/>
        <v>建筑类型</v>
      </c>
      <c r="R29" s="667" t="s">
        <v>14</v>
      </c>
      <c r="S29" s="668">
        <f t="shared" si="12"/>
        <v>100</v>
      </c>
      <c r="T29" s="667" t="s">
        <v>14</v>
      </c>
      <c r="U29" s="668">
        <f t="shared" si="13"/>
        <v>100</v>
      </c>
      <c r="V29" s="667" t="s">
        <v>14</v>
      </c>
      <c r="W29" s="668">
        <f t="shared" si="14"/>
        <v>100</v>
      </c>
      <c r="X29" s="1264"/>
      <c r="Y29" s="3475"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5"/>
      <c r="Q30" s="531" t="str">
        <f t="shared" si="11"/>
        <v>项目建筑规模</v>
      </c>
      <c r="R30" s="669" t="s">
        <v>14</v>
      </c>
      <c r="S30" s="670" t="e">
        <f t="shared" si="12"/>
        <v>#N/A</v>
      </c>
      <c r="T30" s="669" t="s">
        <v>14</v>
      </c>
      <c r="U30" s="670" t="e">
        <f t="shared" si="13"/>
        <v>#N/A</v>
      </c>
      <c r="V30" s="669" t="s">
        <v>14</v>
      </c>
      <c r="W30" s="670" t="e">
        <f t="shared" si="14"/>
        <v>#N/A</v>
      </c>
      <c r="X30" s="671"/>
      <c r="Y30" s="3475"/>
      <c r="Z30" s="672"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5"/>
      <c r="Q31" s="1262" t="str">
        <f t="shared" si="11"/>
        <v>建筑结构</v>
      </c>
      <c r="R31" s="667" t="s">
        <v>14</v>
      </c>
      <c r="S31" s="668">
        <f t="shared" si="12"/>
        <v>100</v>
      </c>
      <c r="T31" s="667" t="s">
        <v>14</v>
      </c>
      <c r="U31" s="668">
        <f t="shared" si="13"/>
        <v>100</v>
      </c>
      <c r="V31" s="667" t="s">
        <v>14</v>
      </c>
      <c r="W31" s="668">
        <f t="shared" si="14"/>
        <v>100</v>
      </c>
      <c r="X31" s="1264"/>
      <c r="Y31" s="3475"/>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5"/>
      <c r="Q32" s="1262" t="str">
        <f t="shared" si="11"/>
        <v>公共部分装修</v>
      </c>
      <c r="R32" s="667" t="s">
        <v>14</v>
      </c>
      <c r="S32" s="668">
        <f t="shared" si="12"/>
        <v>100</v>
      </c>
      <c r="T32" s="667" t="s">
        <v>14</v>
      </c>
      <c r="U32" s="668">
        <f t="shared" si="13"/>
        <v>100</v>
      </c>
      <c r="V32" s="667" t="s">
        <v>14</v>
      </c>
      <c r="W32" s="668">
        <f t="shared" si="14"/>
        <v>100</v>
      </c>
      <c r="X32" s="1264"/>
      <c r="Y32" s="3475"/>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5"/>
      <c r="Q33" s="1262" t="str">
        <f t="shared" si="11"/>
        <v>成新度</v>
      </c>
      <c r="R33" s="667" t="s">
        <v>14</v>
      </c>
      <c r="S33" s="668" t="e">
        <f t="shared" si="12"/>
        <v>#N/A</v>
      </c>
      <c r="T33" s="667" t="s">
        <v>14</v>
      </c>
      <c r="U33" s="668" t="e">
        <f t="shared" si="13"/>
        <v>#N/A</v>
      </c>
      <c r="V33" s="667" t="s">
        <v>14</v>
      </c>
      <c r="W33" s="668" t="e">
        <f t="shared" si="14"/>
        <v>#N/A</v>
      </c>
      <c r="X33" s="1264"/>
      <c r="Y33" s="3475"/>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5"/>
      <c r="Q34" s="530" t="str">
        <f t="shared" si="11"/>
        <v>物业管理</v>
      </c>
      <c r="R34" s="664" t="s">
        <v>14</v>
      </c>
      <c r="S34" s="665">
        <f t="shared" si="12"/>
        <v>100</v>
      </c>
      <c r="T34" s="664" t="s">
        <v>14</v>
      </c>
      <c r="U34" s="665">
        <f t="shared" si="13"/>
        <v>100</v>
      </c>
      <c r="V34" s="664" t="s">
        <v>14</v>
      </c>
      <c r="W34" s="665">
        <f t="shared" si="14"/>
        <v>100</v>
      </c>
      <c r="X34" s="666"/>
      <c r="Y34" s="3475"/>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5" t="s">
        <v>1695</v>
      </c>
      <c r="Q35" s="1262" t="str">
        <f t="shared" si="11"/>
        <v>市政基础设施</v>
      </c>
      <c r="R35" s="667" t="s">
        <v>14</v>
      </c>
      <c r="S35" s="668">
        <f t="shared" si="12"/>
        <v>100</v>
      </c>
      <c r="T35" s="667" t="s">
        <v>14</v>
      </c>
      <c r="U35" s="668">
        <f t="shared" si="13"/>
        <v>100</v>
      </c>
      <c r="V35" s="667" t="s">
        <v>14</v>
      </c>
      <c r="W35" s="668">
        <f t="shared" si="14"/>
        <v>100</v>
      </c>
      <c r="X35" s="1264"/>
      <c r="Y35" s="3475"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5"/>
      <c r="Q36" s="1262" t="str">
        <f t="shared" si="11"/>
        <v>内部装修</v>
      </c>
      <c r="R36" s="667" t="s">
        <v>14</v>
      </c>
      <c r="S36" s="668">
        <f t="shared" si="12"/>
        <v>100</v>
      </c>
      <c r="T36" s="667" t="s">
        <v>14</v>
      </c>
      <c r="U36" s="668">
        <f t="shared" si="13"/>
        <v>100</v>
      </c>
      <c r="V36" s="667" t="s">
        <v>14</v>
      </c>
      <c r="W36" s="668">
        <f t="shared" si="14"/>
        <v>100</v>
      </c>
      <c r="X36" s="1264"/>
      <c r="Y36" s="3475"/>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5"/>
      <c r="Q37" s="1262" t="str">
        <f t="shared" si="11"/>
        <v>内部装修状况</v>
      </c>
      <c r="R37" s="667" t="s">
        <v>14</v>
      </c>
      <c r="S37" s="668">
        <f t="shared" si="12"/>
        <v>100</v>
      </c>
      <c r="T37" s="667" t="s">
        <v>14</v>
      </c>
      <c r="U37" s="668">
        <f t="shared" si="13"/>
        <v>100</v>
      </c>
      <c r="V37" s="667" t="s">
        <v>14</v>
      </c>
      <c r="W37" s="668">
        <f t="shared" si="14"/>
        <v>100</v>
      </c>
      <c r="X37" s="1264"/>
      <c r="Y37" s="3475"/>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5"/>
      <c r="Q38" s="531">
        <f t="shared" si="11"/>
        <v>111</v>
      </c>
      <c r="R38" s="669" t="s">
        <v>14</v>
      </c>
      <c r="S38" s="670">
        <f t="shared" si="12"/>
        <v>100</v>
      </c>
      <c r="T38" s="669" t="s">
        <v>14</v>
      </c>
      <c r="U38" s="670">
        <f t="shared" si="13"/>
        <v>100</v>
      </c>
      <c r="V38" s="669" t="s">
        <v>14</v>
      </c>
      <c r="W38" s="670">
        <f t="shared" si="14"/>
        <v>100</v>
      </c>
      <c r="X38" s="671"/>
      <c r="Y38" s="3475"/>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5"/>
      <c r="Q39" s="1262">
        <f t="shared" si="11"/>
        <v>111</v>
      </c>
      <c r="R39" s="667" t="s">
        <v>14</v>
      </c>
      <c r="S39" s="668">
        <f t="shared" si="12"/>
        <v>100</v>
      </c>
      <c r="T39" s="667" t="s">
        <v>14</v>
      </c>
      <c r="U39" s="668">
        <f t="shared" si="13"/>
        <v>100</v>
      </c>
      <c r="V39" s="667" t="s">
        <v>14</v>
      </c>
      <c r="W39" s="668">
        <f t="shared" si="14"/>
        <v>100</v>
      </c>
      <c r="X39" s="1264"/>
      <c r="Y39" s="347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6"/>
      <c r="Q40" s="1262">
        <f t="shared" si="11"/>
        <v>111</v>
      </c>
      <c r="R40" s="667" t="s">
        <v>14</v>
      </c>
      <c r="S40" s="668">
        <f t="shared" si="12"/>
        <v>100</v>
      </c>
      <c r="T40" s="667" t="s">
        <v>14</v>
      </c>
      <c r="U40" s="668">
        <f t="shared" si="13"/>
        <v>100</v>
      </c>
      <c r="V40" s="667" t="s">
        <v>14</v>
      </c>
      <c r="W40" s="668">
        <f t="shared" si="14"/>
        <v>100</v>
      </c>
      <c r="X40" s="1264"/>
      <c r="Y40" s="3476"/>
      <c r="Z40" s="1263">
        <f t="shared" si="15"/>
        <v>111</v>
      </c>
      <c r="AA40" s="1263">
        <f t="shared" si="3"/>
        <v>1</v>
      </c>
      <c r="AB40" s="1263">
        <f t="shared" si="4"/>
        <v>1</v>
      </c>
      <c r="AC40" s="1263">
        <f t="shared" si="5"/>
        <v>1</v>
      </c>
    </row>
    <row r="41" spans="1:29" ht="15">
      <c r="A41" s="416" t="s">
        <v>1707</v>
      </c>
      <c r="B41" s="417"/>
      <c r="C41" s="1081" t="s">
        <v>0</v>
      </c>
      <c r="D41" s="418"/>
      <c r="E41" s="419"/>
      <c r="F41" s="420"/>
      <c r="G41" s="421"/>
      <c r="H41" s="422"/>
      <c r="I41" s="419"/>
      <c r="J41" s="422"/>
      <c r="K41" s="674"/>
      <c r="L41" s="873"/>
      <c r="M41" s="861"/>
      <c r="N41" s="861"/>
      <c r="O41" s="861"/>
      <c r="P41" s="3468" t="str">
        <f>A41</f>
        <v>成交单价（元/平方米）</v>
      </c>
      <c r="Q41" s="3468"/>
      <c r="R41" s="3469">
        <f>E41</f>
        <v>0</v>
      </c>
      <c r="S41" s="3469"/>
      <c r="T41" s="3469">
        <f>G41</f>
        <v>0</v>
      </c>
      <c r="U41" s="3469"/>
      <c r="V41" s="3469">
        <f>I41</f>
        <v>0</v>
      </c>
      <c r="W41" s="3469"/>
      <c r="X41" s="385"/>
      <c r="Y41" s="673"/>
      <c r="Z41" s="385"/>
      <c r="AA41" s="385"/>
      <c r="AB41" s="385"/>
      <c r="AC41" s="385"/>
    </row>
    <row r="42" spans="1:29" ht="15.75" thickBot="1">
      <c r="A42" s="423" t="s">
        <v>1792</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3"/>
      <c r="M43" s="861"/>
      <c r="N43" s="861"/>
      <c r="O43" s="861"/>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1797</v>
      </c>
      <c r="B51" s="385"/>
      <c r="C51" s="659"/>
      <c r="D51" s="659"/>
      <c r="E51" s="659"/>
      <c r="F51" s="660"/>
      <c r="G51" s="660"/>
      <c r="H51" s="659"/>
      <c r="I51" s="659"/>
      <c r="J51" s="659"/>
      <c r="K51" s="887"/>
      <c r="L51" s="888"/>
      <c r="M51" s="886"/>
      <c r="N51" s="886"/>
      <c r="O51" s="886"/>
      <c r="P51" s="438"/>
      <c r="Q51" s="439"/>
    </row>
    <row r="52" spans="1:17" s="442" customFormat="1" ht="15">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1687</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3323</v>
      </c>
      <c r="C1" s="1140" t="s">
        <v>1661</v>
      </c>
      <c r="D1" s="1141"/>
      <c r="E1" s="3129"/>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1462</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93" t="s">
        <v>1770</v>
      </c>
      <c r="S4" s="3494"/>
      <c r="T4" s="3493" t="s">
        <v>1771</v>
      </c>
      <c r="U4" s="3494"/>
      <c r="V4" s="3469" t="s">
        <v>1772</v>
      </c>
      <c r="W4" s="3469"/>
      <c r="X4" s="1264"/>
      <c r="Y4" s="3493" t="s">
        <v>1774</v>
      </c>
      <c r="Z4" s="3494"/>
      <c r="AA4" s="3480" t="s">
        <v>1770</v>
      </c>
      <c r="AB4" s="3481" t="s">
        <v>1771</v>
      </c>
      <c r="AC4" s="3480" t="s">
        <v>1772</v>
      </c>
    </row>
    <row r="5" spans="1:29" ht="15">
      <c r="A5" s="348"/>
      <c r="B5" s="349"/>
      <c r="C5" s="3501" t="s">
        <v>1672</v>
      </c>
      <c r="D5" s="3502"/>
      <c r="E5" s="3508" t="s">
        <v>1673</v>
      </c>
      <c r="F5" s="3509"/>
      <c r="G5" s="3501" t="s">
        <v>1674</v>
      </c>
      <c r="H5" s="3502"/>
      <c r="I5" s="3501" t="s">
        <v>1675</v>
      </c>
      <c r="J5" s="3502"/>
      <c r="K5" s="537"/>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499" t="s">
        <v>1676</v>
      </c>
      <c r="D6" s="3500"/>
      <c r="E6" s="3506" t="s">
        <v>1676</v>
      </c>
      <c r="F6" s="3507"/>
      <c r="G6" s="3499" t="s">
        <v>1676</v>
      </c>
      <c r="H6" s="3500"/>
      <c r="I6" s="3499" t="s">
        <v>1676</v>
      </c>
      <c r="J6" s="3500"/>
      <c r="K6" s="537" t="s">
        <v>1677</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1678</v>
      </c>
      <c r="B7" s="353"/>
      <c r="C7" s="354">
        <f>'数据-取费表'!B2</f>
        <v>45792</v>
      </c>
      <c r="D7" s="355">
        <v>100</v>
      </c>
      <c r="E7" s="356"/>
      <c r="F7" s="357">
        <f>SUMIF(48:48,YEAR(E7)&amp;"-"&amp;MONTH(E7),49:49)</f>
        <v>0</v>
      </c>
      <c r="G7" s="356"/>
      <c r="H7" s="355">
        <f>SUMIF(48:48,YEAR(G7)&amp;"-"&amp;MONTH(G7),49:49)</f>
        <v>0</v>
      </c>
      <c r="I7" s="356"/>
      <c r="J7" s="355">
        <f>SUMIF(48:48,YEAR(I7)&amp;"-"&amp;MONTH(I7),49:49)</f>
        <v>0</v>
      </c>
      <c r="K7" s="38"/>
      <c r="L7" s="2488"/>
      <c r="M7" s="2439"/>
      <c r="N7" s="2439"/>
      <c r="O7" s="2439"/>
      <c r="P7" s="3503" t="s">
        <v>1679</v>
      </c>
      <c r="Q7" s="3505"/>
      <c r="R7" s="664" t="s">
        <v>14</v>
      </c>
      <c r="S7" s="665">
        <f t="shared" ref="S7:S14" si="0">F7</f>
        <v>0</v>
      </c>
      <c r="T7" s="664" t="s">
        <v>14</v>
      </c>
      <c r="U7" s="665">
        <f t="shared" ref="U7:U14" si="1">H7</f>
        <v>0</v>
      </c>
      <c r="V7" s="664" t="s">
        <v>14</v>
      </c>
      <c r="W7" s="665">
        <f t="shared" ref="W7:W14" si="2">J7</f>
        <v>0</v>
      </c>
      <c r="X7" s="666"/>
      <c r="Y7" s="3503" t="s">
        <v>1679</v>
      </c>
      <c r="Z7" s="3504"/>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503" t="s">
        <v>1682</v>
      </c>
      <c r="Q8" s="3504"/>
      <c r="R8" s="664" t="s">
        <v>14</v>
      </c>
      <c r="S8" s="665">
        <f t="shared" si="0"/>
        <v>100</v>
      </c>
      <c r="T8" s="664" t="s">
        <v>14</v>
      </c>
      <c r="U8" s="665">
        <f t="shared" si="1"/>
        <v>100</v>
      </c>
      <c r="V8" s="664" t="s">
        <v>14</v>
      </c>
      <c r="W8" s="665">
        <f t="shared" si="2"/>
        <v>100</v>
      </c>
      <c r="X8" s="666"/>
      <c r="Y8" s="3503" t="s">
        <v>1682</v>
      </c>
      <c r="Z8" s="3504"/>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68" t="s">
        <v>1685</v>
      </c>
      <c r="Q9" s="530" t="str">
        <f t="shared" ref="Q9:Q14" si="6">B9</f>
        <v>用途</v>
      </c>
      <c r="R9" s="664" t="s">
        <v>14</v>
      </c>
      <c r="S9" s="665">
        <f t="shared" si="0"/>
        <v>100</v>
      </c>
      <c r="T9" s="664" t="s">
        <v>14</v>
      </c>
      <c r="U9" s="665">
        <f t="shared" si="1"/>
        <v>100</v>
      </c>
      <c r="V9" s="664" t="s">
        <v>14</v>
      </c>
      <c r="W9" s="665">
        <f t="shared" si="2"/>
        <v>100</v>
      </c>
      <c r="X9" s="666"/>
      <c r="Y9" s="3343" t="s">
        <v>1686</v>
      </c>
      <c r="Z9" s="50" t="str">
        <f t="shared" ref="Z9:Z14" si="7">Q9</f>
        <v>用途</v>
      </c>
      <c r="AA9" s="50">
        <f t="shared" si="3"/>
        <v>1</v>
      </c>
      <c r="AB9" s="50">
        <f t="shared" si="4"/>
        <v>1</v>
      </c>
      <c r="AC9" s="50">
        <f t="shared" si="5"/>
        <v>1</v>
      </c>
    </row>
    <row r="10" spans="1:29" s="366" customFormat="1" ht="27">
      <c r="A10" s="565"/>
      <c r="B10" s="566" t="s">
        <v>1687</v>
      </c>
      <c r="C10" s="3130"/>
      <c r="D10" s="119">
        <v>100</v>
      </c>
      <c r="E10" s="3130"/>
      <c r="F10" s="119">
        <f>SUMIF(55:55,E10,56:56)-SUMIF(55:55,C10,56:56)+100</f>
        <v>100</v>
      </c>
      <c r="G10" s="3131"/>
      <c r="H10" s="119">
        <f>SUMIF(55:55,G10,56:56)-SUMIF(55:55,C10,56:56)+100</f>
        <v>100</v>
      </c>
      <c r="I10" s="3130"/>
      <c r="J10" s="119">
        <f>SUMIF(55:55,I10,56:56)-SUMIF(55:55,C10,56:56)+100</f>
        <v>100</v>
      </c>
      <c r="K10" s="38"/>
      <c r="L10" s="2489"/>
      <c r="M10" s="2490"/>
      <c r="N10" s="2490"/>
      <c r="O10" s="2490"/>
      <c r="P10" s="3468"/>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68"/>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68"/>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
      <c r="A14" s="345" t="s">
        <v>1689</v>
      </c>
      <c r="B14" s="554"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70" t="s">
        <v>1690</v>
      </c>
      <c r="Q14" s="1262" t="str">
        <f t="shared" si="6"/>
        <v>交通便捷度</v>
      </c>
      <c r="R14" s="667" t="s">
        <v>14</v>
      </c>
      <c r="S14" s="668">
        <f t="shared" si="0"/>
        <v>100</v>
      </c>
      <c r="T14" s="667" t="s">
        <v>14</v>
      </c>
      <c r="U14" s="668">
        <f t="shared" si="1"/>
        <v>100</v>
      </c>
      <c r="V14" s="667" t="s">
        <v>14</v>
      </c>
      <c r="W14" s="668">
        <f t="shared" si="2"/>
        <v>100</v>
      </c>
      <c r="X14" s="1264"/>
      <c r="Y14" s="3470" t="s">
        <v>1690</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71"/>
      <c r="Q15" s="1262"/>
      <c r="R15" s="667"/>
      <c r="S15" s="668"/>
      <c r="T15" s="667"/>
      <c r="U15" s="668"/>
      <c r="V15" s="667"/>
      <c r="W15" s="668"/>
      <c r="X15" s="1264"/>
      <c r="Y15" s="3471"/>
      <c r="Z15" s="1263"/>
      <c r="AA15" s="1263">
        <v>1</v>
      </c>
      <c r="AB15" s="1263">
        <v>1</v>
      </c>
      <c r="AC15" s="1263">
        <v>1</v>
      </c>
    </row>
    <row r="16" spans="1:29" ht="15">
      <c r="A16" s="348"/>
      <c r="B16" s="556"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71"/>
      <c r="Q16" s="1262" t="str">
        <f>B16</f>
        <v>公共配套设施</v>
      </c>
      <c r="R16" s="667" t="s">
        <v>14</v>
      </c>
      <c r="S16" s="668">
        <f>F16</f>
        <v>100</v>
      </c>
      <c r="T16" s="667" t="s">
        <v>14</v>
      </c>
      <c r="U16" s="668">
        <f>H16</f>
        <v>100</v>
      </c>
      <c r="V16" s="667" t="s">
        <v>14</v>
      </c>
      <c r="W16" s="668">
        <f>J16</f>
        <v>100</v>
      </c>
      <c r="X16" s="1264"/>
      <c r="Y16" s="347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71"/>
      <c r="Q17" s="1262"/>
      <c r="R17" s="667"/>
      <c r="S17" s="668"/>
      <c r="T17" s="667"/>
      <c r="U17" s="668"/>
      <c r="V17" s="667"/>
      <c r="W17" s="668"/>
      <c r="X17" s="1264"/>
      <c r="Y17" s="3471"/>
      <c r="Z17" s="1263"/>
      <c r="AA17" s="1263">
        <v>1</v>
      </c>
      <c r="AB17" s="1263">
        <v>1</v>
      </c>
      <c r="AC17" s="1263">
        <v>1</v>
      </c>
    </row>
    <row r="18" spans="1:29" ht="15">
      <c r="A18" s="348"/>
      <c r="B18" s="557"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71"/>
      <c r="Q18" s="1262" t="str">
        <f>B18</f>
        <v>基础设施水平</v>
      </c>
      <c r="R18" s="667" t="s">
        <v>14</v>
      </c>
      <c r="S18" s="668">
        <f>F18</f>
        <v>100</v>
      </c>
      <c r="T18" s="667" t="s">
        <v>14</v>
      </c>
      <c r="U18" s="668">
        <f>H18</f>
        <v>100</v>
      </c>
      <c r="V18" s="667" t="s">
        <v>14</v>
      </c>
      <c r="W18" s="668">
        <f>J18</f>
        <v>100</v>
      </c>
      <c r="X18" s="1264"/>
      <c r="Y18" s="347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471"/>
      <c r="Q19" s="1262"/>
      <c r="R19" s="667"/>
      <c r="S19" s="668"/>
      <c r="T19" s="667"/>
      <c r="U19" s="668"/>
      <c r="V19" s="667"/>
      <c r="W19" s="668"/>
      <c r="X19" s="1264"/>
      <c r="Y19" s="3471"/>
      <c r="Z19" s="1263"/>
      <c r="AA19" s="1263">
        <v>1</v>
      </c>
      <c r="AB19" s="1263">
        <v>1</v>
      </c>
      <c r="AC19" s="1263">
        <v>1</v>
      </c>
    </row>
    <row r="20" spans="1:29" ht="15">
      <c r="A20" s="348"/>
      <c r="B20" s="556"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71"/>
      <c r="Q20" s="1262" t="str">
        <f>B20</f>
        <v>自然及人文环境</v>
      </c>
      <c r="R20" s="667" t="s">
        <v>14</v>
      </c>
      <c r="S20" s="668">
        <f>F20</f>
        <v>100</v>
      </c>
      <c r="T20" s="667" t="s">
        <v>14</v>
      </c>
      <c r="U20" s="668">
        <f>H20</f>
        <v>100</v>
      </c>
      <c r="V20" s="667" t="s">
        <v>14</v>
      </c>
      <c r="W20" s="668">
        <f>J20</f>
        <v>100</v>
      </c>
      <c r="X20" s="1264"/>
      <c r="Y20" s="347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71"/>
      <c r="Q21" s="1262"/>
      <c r="R21" s="667"/>
      <c r="S21" s="668"/>
      <c r="T21" s="667"/>
      <c r="U21" s="668"/>
      <c r="V21" s="667"/>
      <c r="W21" s="668"/>
      <c r="X21" s="1264"/>
      <c r="Y21" s="3471"/>
      <c r="Z21" s="1263"/>
      <c r="AA21" s="1263">
        <v>1</v>
      </c>
      <c r="AB21" s="1263">
        <v>1</v>
      </c>
      <c r="AC21" s="1263">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71"/>
      <c r="Q22" s="1262" t="str">
        <f>B22</f>
        <v>楼层</v>
      </c>
      <c r="R22" s="667" t="s">
        <v>14</v>
      </c>
      <c r="S22" s="668">
        <f>F22</f>
        <v>100</v>
      </c>
      <c r="T22" s="667" t="s">
        <v>14</v>
      </c>
      <c r="U22" s="668">
        <f>H22</f>
        <v>100</v>
      </c>
      <c r="V22" s="667" t="s">
        <v>14</v>
      </c>
      <c r="W22" s="668">
        <f>J22</f>
        <v>100</v>
      </c>
      <c r="X22" s="1264"/>
      <c r="Y22" s="347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71"/>
      <c r="Q23" s="1262">
        <f>B23</f>
        <v>111</v>
      </c>
      <c r="R23" s="667" t="s">
        <v>14</v>
      </c>
      <c r="S23" s="668">
        <f>F23</f>
        <v>100</v>
      </c>
      <c r="T23" s="667" t="s">
        <v>14</v>
      </c>
      <c r="U23" s="668">
        <f>H23</f>
        <v>100</v>
      </c>
      <c r="V23" s="667" t="s">
        <v>14</v>
      </c>
      <c r="W23" s="668">
        <f>J23</f>
        <v>100</v>
      </c>
      <c r="X23" s="1264"/>
      <c r="Y23" s="347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71"/>
      <c r="Q24" s="1262">
        <f t="shared" ref="Q24:Q36" si="11">B24</f>
        <v>111</v>
      </c>
      <c r="R24" s="667" t="s">
        <v>14</v>
      </c>
      <c r="S24" s="668">
        <f>F24</f>
        <v>100</v>
      </c>
      <c r="T24" s="667" t="s">
        <v>14</v>
      </c>
      <c r="U24" s="668">
        <f>H24</f>
        <v>100</v>
      </c>
      <c r="V24" s="667" t="s">
        <v>14</v>
      </c>
      <c r="W24" s="668">
        <f>J24</f>
        <v>100</v>
      </c>
      <c r="X24" s="1264"/>
      <c r="Y24" s="347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71"/>
      <c r="Q25" s="530">
        <f t="shared" si="11"/>
        <v>111</v>
      </c>
      <c r="R25" s="664" t="s">
        <v>14</v>
      </c>
      <c r="S25" s="665">
        <f>F25</f>
        <v>100</v>
      </c>
      <c r="T25" s="664" t="s">
        <v>14</v>
      </c>
      <c r="U25" s="665">
        <f>H25</f>
        <v>100</v>
      </c>
      <c r="V25" s="664" t="s">
        <v>14</v>
      </c>
      <c r="W25" s="665">
        <f>J25</f>
        <v>100</v>
      </c>
      <c r="X25" s="666"/>
      <c r="Y25" s="3471"/>
      <c r="Z25" s="50">
        <f>Q25</f>
        <v>111</v>
      </c>
      <c r="AA25" s="1263">
        <f>D25/F25</f>
        <v>1</v>
      </c>
      <c r="AB25" s="1263">
        <f>D25/H25</f>
        <v>1</v>
      </c>
      <c r="AC25" s="1263">
        <f>D25/J25</f>
        <v>1</v>
      </c>
    </row>
    <row r="26" spans="1:29" ht="28.5">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25" t="s">
        <v>1695</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75" t="s">
        <v>1695</v>
      </c>
      <c r="Z26" s="1263" t="str">
        <f t="shared" ref="Z26:Z36" si="15">Q26</f>
        <v>配套类型</v>
      </c>
      <c r="AA26" s="1263" t="e">
        <f t="shared" si="3"/>
        <v>#DIV/0!</v>
      </c>
      <c r="AB26" s="1263" t="e">
        <f t="shared" si="4"/>
        <v>#DIV/0!</v>
      </c>
      <c r="AC26" s="1263"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75"/>
      <c r="Q27" s="531" t="str">
        <f t="shared" si="11"/>
        <v>项目停车位配比</v>
      </c>
      <c r="R27" s="669" t="s">
        <v>14</v>
      </c>
      <c r="S27" s="670">
        <f t="shared" si="12"/>
        <v>100</v>
      </c>
      <c r="T27" s="669" t="s">
        <v>14</v>
      </c>
      <c r="U27" s="670">
        <f t="shared" si="13"/>
        <v>100</v>
      </c>
      <c r="V27" s="669" t="s">
        <v>14</v>
      </c>
      <c r="W27" s="670">
        <f t="shared" si="14"/>
        <v>100</v>
      </c>
      <c r="X27" s="671"/>
      <c r="Y27" s="3475"/>
      <c r="Z27" s="672" t="str">
        <f t="shared" si="15"/>
        <v>项目停车位配比</v>
      </c>
      <c r="AA27" s="1263">
        <f t="shared" si="3"/>
        <v>1</v>
      </c>
      <c r="AB27" s="1263">
        <f t="shared" si="4"/>
        <v>1</v>
      </c>
      <c r="AC27" s="1263">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75"/>
      <c r="Q28" s="1262" t="str">
        <f t="shared" si="11"/>
        <v>公共部分装修</v>
      </c>
      <c r="R28" s="667" t="s">
        <v>14</v>
      </c>
      <c r="S28" s="668">
        <f t="shared" si="12"/>
        <v>100</v>
      </c>
      <c r="T28" s="667" t="s">
        <v>14</v>
      </c>
      <c r="U28" s="668">
        <f t="shared" si="13"/>
        <v>100</v>
      </c>
      <c r="V28" s="667" t="s">
        <v>14</v>
      </c>
      <c r="W28" s="668">
        <f t="shared" si="14"/>
        <v>100</v>
      </c>
      <c r="X28" s="1264"/>
      <c r="Y28" s="3475"/>
      <c r="Z28" s="1263" t="str">
        <f t="shared" si="15"/>
        <v>公共部分装修</v>
      </c>
      <c r="AA28" s="1263">
        <f t="shared" si="3"/>
        <v>1</v>
      </c>
      <c r="AB28" s="1263">
        <f t="shared" si="4"/>
        <v>1</v>
      </c>
      <c r="AC28" s="1263">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75"/>
      <c r="Q29" s="1262" t="str">
        <f t="shared" si="11"/>
        <v>成新率</v>
      </c>
      <c r="R29" s="667" t="s">
        <v>14</v>
      </c>
      <c r="S29" s="668" t="e">
        <f t="shared" si="12"/>
        <v>#N/A</v>
      </c>
      <c r="T29" s="667" t="s">
        <v>14</v>
      </c>
      <c r="U29" s="668" t="e">
        <f t="shared" si="13"/>
        <v>#N/A</v>
      </c>
      <c r="V29" s="667" t="s">
        <v>14</v>
      </c>
      <c r="W29" s="668" t="e">
        <f t="shared" si="14"/>
        <v>#N/A</v>
      </c>
      <c r="X29" s="1264"/>
      <c r="Y29" s="3475"/>
      <c r="Z29" s="1263" t="str">
        <f t="shared" si="15"/>
        <v>成新率</v>
      </c>
      <c r="AA29" s="1263" t="e">
        <f t="shared" si="3"/>
        <v>#N/A</v>
      </c>
      <c r="AB29" s="1263" t="e">
        <f t="shared" si="4"/>
        <v>#N/A</v>
      </c>
      <c r="AC29" s="1263"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75"/>
      <c r="Q30" s="1262" t="str">
        <f t="shared" si="11"/>
        <v>物业等级</v>
      </c>
      <c r="R30" s="667" t="s">
        <v>14</v>
      </c>
      <c r="S30" s="668">
        <f t="shared" si="12"/>
        <v>100</v>
      </c>
      <c r="T30" s="667" t="s">
        <v>14</v>
      </c>
      <c r="U30" s="668">
        <f t="shared" si="13"/>
        <v>100</v>
      </c>
      <c r="V30" s="667" t="s">
        <v>14</v>
      </c>
      <c r="W30" s="668">
        <f t="shared" si="14"/>
        <v>100</v>
      </c>
      <c r="X30" s="1264"/>
      <c r="Y30" s="3475"/>
      <c r="Z30" s="1263" t="str">
        <f t="shared" si="15"/>
        <v>物业等级</v>
      </c>
      <c r="AA30" s="1263">
        <f t="shared" si="3"/>
        <v>1</v>
      </c>
      <c r="AB30" s="1263">
        <f t="shared" si="4"/>
        <v>1</v>
      </c>
      <c r="AC30" s="1263">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75"/>
      <c r="Q31" s="530" t="str">
        <f t="shared" si="11"/>
        <v>停车位面积</v>
      </c>
      <c r="R31" s="664" t="s">
        <v>14</v>
      </c>
      <c r="S31" s="665" t="e">
        <f t="shared" si="12"/>
        <v>#N/A</v>
      </c>
      <c r="T31" s="664" t="s">
        <v>14</v>
      </c>
      <c r="U31" s="665" t="e">
        <f t="shared" si="13"/>
        <v>#N/A</v>
      </c>
      <c r="V31" s="664" t="s">
        <v>14</v>
      </c>
      <c r="W31" s="665" t="e">
        <f t="shared" si="14"/>
        <v>#N/A</v>
      </c>
      <c r="X31" s="666"/>
      <c r="Y31" s="3475"/>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75" t="s">
        <v>1695</v>
      </c>
      <c r="Q32" s="1262" t="str">
        <f t="shared" si="11"/>
        <v>车位类型</v>
      </c>
      <c r="R32" s="667" t="s">
        <v>14</v>
      </c>
      <c r="S32" s="668">
        <f t="shared" si="12"/>
        <v>100</v>
      </c>
      <c r="T32" s="667" t="s">
        <v>14</v>
      </c>
      <c r="U32" s="668">
        <f t="shared" si="13"/>
        <v>100</v>
      </c>
      <c r="V32" s="667" t="s">
        <v>14</v>
      </c>
      <c r="W32" s="668">
        <f t="shared" si="14"/>
        <v>100</v>
      </c>
      <c r="X32" s="1264"/>
      <c r="Y32" s="3475" t="s">
        <v>1695</v>
      </c>
      <c r="Z32" s="1263" t="str">
        <f t="shared" si="15"/>
        <v>车位类型</v>
      </c>
      <c r="AA32" s="1263">
        <f t="shared" si="3"/>
        <v>1</v>
      </c>
      <c r="AB32" s="1263">
        <f t="shared" si="4"/>
        <v>1</v>
      </c>
      <c r="AC32" s="1263">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75"/>
      <c r="Q33" s="1262" t="str">
        <f t="shared" si="11"/>
        <v>是否直接入户</v>
      </c>
      <c r="R33" s="667" t="s">
        <v>14</v>
      </c>
      <c r="S33" s="668">
        <f t="shared" si="12"/>
        <v>100</v>
      </c>
      <c r="T33" s="667" t="s">
        <v>14</v>
      </c>
      <c r="U33" s="668">
        <f t="shared" si="13"/>
        <v>100</v>
      </c>
      <c r="V33" s="667" t="s">
        <v>14</v>
      </c>
      <c r="W33" s="668">
        <f t="shared" si="14"/>
        <v>100</v>
      </c>
      <c r="X33" s="1264"/>
      <c r="Y33" s="3475"/>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75"/>
      <c r="Q34" s="1262">
        <f t="shared" si="11"/>
        <v>111</v>
      </c>
      <c r="R34" s="667" t="s">
        <v>14</v>
      </c>
      <c r="S34" s="668">
        <f t="shared" si="12"/>
        <v>100</v>
      </c>
      <c r="T34" s="667" t="s">
        <v>14</v>
      </c>
      <c r="U34" s="668">
        <f t="shared" si="13"/>
        <v>100</v>
      </c>
      <c r="V34" s="667" t="s">
        <v>14</v>
      </c>
      <c r="W34" s="668">
        <f t="shared" si="14"/>
        <v>100</v>
      </c>
      <c r="X34" s="1264"/>
      <c r="Y34" s="3475"/>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75"/>
      <c r="Q35" s="531">
        <f t="shared" si="11"/>
        <v>111</v>
      </c>
      <c r="R35" s="669" t="s">
        <v>14</v>
      </c>
      <c r="S35" s="670">
        <f t="shared" si="12"/>
        <v>100</v>
      </c>
      <c r="T35" s="669" t="s">
        <v>14</v>
      </c>
      <c r="U35" s="670">
        <f t="shared" si="13"/>
        <v>100</v>
      </c>
      <c r="V35" s="669" t="s">
        <v>14</v>
      </c>
      <c r="W35" s="670">
        <f t="shared" si="14"/>
        <v>100</v>
      </c>
      <c r="X35" s="671"/>
      <c r="Y35" s="3475"/>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75"/>
      <c r="Q36" s="1262">
        <f t="shared" si="11"/>
        <v>111</v>
      </c>
      <c r="R36" s="667" t="s">
        <v>14</v>
      </c>
      <c r="S36" s="668">
        <f t="shared" si="12"/>
        <v>100</v>
      </c>
      <c r="T36" s="667" t="s">
        <v>14</v>
      </c>
      <c r="U36" s="668">
        <f t="shared" si="13"/>
        <v>100</v>
      </c>
      <c r="V36" s="667" t="s">
        <v>14</v>
      </c>
      <c r="W36" s="668">
        <f t="shared" si="14"/>
        <v>100</v>
      </c>
      <c r="X36" s="1264"/>
      <c r="Y36" s="3475"/>
      <c r="Z36" s="1263">
        <f t="shared" si="15"/>
        <v>111</v>
      </c>
      <c r="AA36" s="1263">
        <f t="shared" si="3"/>
        <v>1</v>
      </c>
      <c r="AB36" s="1263">
        <f t="shared" si="4"/>
        <v>1</v>
      </c>
      <c r="AC36" s="1263">
        <f t="shared" si="5"/>
        <v>1</v>
      </c>
    </row>
    <row r="37" spans="1:29" ht="15">
      <c r="A37" s="416" t="s">
        <v>1843</v>
      </c>
      <c r="B37" s="1820" t="s">
        <v>3344</v>
      </c>
      <c r="C37" s="1081" t="s">
        <v>0</v>
      </c>
      <c r="D37" s="418"/>
      <c r="E37" s="419"/>
      <c r="F37" s="420"/>
      <c r="G37" s="421"/>
      <c r="H37" s="422"/>
      <c r="I37" s="419"/>
      <c r="J37" s="422"/>
      <c r="K37" s="545"/>
      <c r="L37" s="2494"/>
      <c r="M37" s="2487"/>
      <c r="N37" s="2487"/>
      <c r="O37" s="2487"/>
      <c r="P37" s="3468" t="str">
        <f>A37</f>
        <v>成交单价</v>
      </c>
      <c r="Q37" s="3468"/>
      <c r="R37" s="3469">
        <f>E37</f>
        <v>0</v>
      </c>
      <c r="S37" s="3469"/>
      <c r="T37" s="3469">
        <f>G37</f>
        <v>0</v>
      </c>
      <c r="U37" s="3469"/>
      <c r="V37" s="3469">
        <f>I37</f>
        <v>0</v>
      </c>
      <c r="W37" s="3469"/>
      <c r="X37" s="385"/>
      <c r="Y37" s="673"/>
      <c r="Z37" s="385"/>
      <c r="AA37" s="385"/>
      <c r="AB37" s="385"/>
      <c r="AC37" s="385"/>
    </row>
    <row r="38" spans="1:29" ht="15.75" thickBot="1">
      <c r="A38" s="423" t="s">
        <v>1844</v>
      </c>
      <c r="B38" s="424" t="str">
        <f>B37</f>
        <v>元/平方米</v>
      </c>
      <c r="C38" s="1082" t="e">
        <f>R39</f>
        <v>#DIV/0!</v>
      </c>
      <c r="D38" s="2140" t="s">
        <v>2137</v>
      </c>
      <c r="E38" s="1083" t="e">
        <f>R38</f>
        <v>#DIV/0!</v>
      </c>
      <c r="F38" s="2141"/>
      <c r="G38" s="1082" t="e">
        <f>T38</f>
        <v>#DIV/0!</v>
      </c>
      <c r="H38" s="2141"/>
      <c r="I38" s="1083" t="e">
        <f>V38</f>
        <v>#DIV/0!</v>
      </c>
      <c r="J38" s="2141"/>
      <c r="K38" s="2143">
        <f>F38+H38+J38</f>
        <v>0</v>
      </c>
      <c r="L38" s="2494"/>
      <c r="M38" s="2487"/>
      <c r="N38" s="2487"/>
      <c r="O38" s="2487"/>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4"/>
      <c r="M39" s="2487"/>
      <c r="N39" s="2487"/>
      <c r="O39" s="2487"/>
      <c r="P39" s="3465" t="str">
        <f>A39</f>
        <v>估价对象XX用房的比较价值（楼面单价，元/平方米）</v>
      </c>
      <c r="Q39" s="3466"/>
      <c r="R39" s="3526" t="e">
        <f>IF(F1="售价",ROUND(IF(D38="简单平均",AVERAGE(R38:W38),R38*F38+T38*H38+V38*J38),0),ROUND(IF(D38="简单平均",AVERAGE(R38:V38),R38*F38+T38*H38+V38*J38),1))</f>
        <v>#DIV/0!</v>
      </c>
      <c r="S39" s="3526"/>
      <c r="T39" s="3526"/>
      <c r="U39" s="3526"/>
      <c r="V39" s="3526"/>
      <c r="W39" s="352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估价对象为房地产，为所有。根据《国有土地使用证》[]，估价对象（分摊）出让国有建设用地使用权面积为217068.78平方米，建筑面积为251875.16平方米。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估价对象为房地产,属开发建设的，该项目尚在开发建设中。根据《国有土地使用证》[]，估价对象（分摊）出让国有建设用地使用权面积为217068.78平方米，规划建筑面积为251875.16平方米。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2025年5月15日（评估专业人员实地查勘之日）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3324</v>
      </c>
      <c r="C1" s="1140" t="s">
        <v>1661</v>
      </c>
      <c r="D1" s="1141"/>
      <c r="E1" s="3129"/>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1462</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93" t="s">
        <v>1770</v>
      </c>
      <c r="S4" s="3494"/>
      <c r="T4" s="3493" t="s">
        <v>1771</v>
      </c>
      <c r="U4" s="3494"/>
      <c r="V4" s="3469" t="s">
        <v>1772</v>
      </c>
      <c r="W4" s="3469"/>
      <c r="X4" s="1264"/>
      <c r="Y4" s="3493" t="s">
        <v>1774</v>
      </c>
      <c r="Z4" s="3494"/>
      <c r="AA4" s="3480" t="s">
        <v>1770</v>
      </c>
      <c r="AB4" s="3481" t="s">
        <v>1771</v>
      </c>
      <c r="AC4" s="3480" t="s">
        <v>1772</v>
      </c>
    </row>
    <row r="5" spans="1:29" ht="15">
      <c r="A5" s="348"/>
      <c r="B5" s="349"/>
      <c r="C5" s="3501" t="s">
        <v>1672</v>
      </c>
      <c r="D5" s="3502"/>
      <c r="E5" s="3508" t="s">
        <v>1673</v>
      </c>
      <c r="F5" s="3509"/>
      <c r="G5" s="3501" t="s">
        <v>1674</v>
      </c>
      <c r="H5" s="3502"/>
      <c r="I5" s="3501" t="s">
        <v>1675</v>
      </c>
      <c r="J5" s="3502"/>
      <c r="K5" s="537"/>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499" t="s">
        <v>1676</v>
      </c>
      <c r="D6" s="3500"/>
      <c r="E6" s="3506" t="s">
        <v>1676</v>
      </c>
      <c r="F6" s="3507"/>
      <c r="G6" s="3499" t="s">
        <v>1676</v>
      </c>
      <c r="H6" s="3500"/>
      <c r="I6" s="3499" t="s">
        <v>1676</v>
      </c>
      <c r="J6" s="3500"/>
      <c r="K6" s="537" t="s">
        <v>1677</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1678</v>
      </c>
      <c r="B7" s="353"/>
      <c r="C7" s="354">
        <f>'数据-取费表'!B2</f>
        <v>45792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503" t="s">
        <v>1679</v>
      </c>
      <c r="Q7" s="3505"/>
      <c r="R7" s="664" t="s">
        <v>14</v>
      </c>
      <c r="S7" s="665">
        <f t="shared" ref="S7:S14" si="0">F7</f>
        <v>0</v>
      </c>
      <c r="T7" s="664" t="s">
        <v>14</v>
      </c>
      <c r="U7" s="665">
        <f t="shared" ref="U7:U14" si="1">H7</f>
        <v>0</v>
      </c>
      <c r="V7" s="664" t="s">
        <v>14</v>
      </c>
      <c r="W7" s="665">
        <f t="shared" ref="W7:W14" si="2">J7</f>
        <v>0</v>
      </c>
      <c r="X7" s="666"/>
      <c r="Y7" s="3503" t="s">
        <v>1679</v>
      </c>
      <c r="Z7" s="3504"/>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03" t="s">
        <v>1682</v>
      </c>
      <c r="Q8" s="3504"/>
      <c r="R8" s="664" t="s">
        <v>14</v>
      </c>
      <c r="S8" s="665">
        <f t="shared" si="0"/>
        <v>100</v>
      </c>
      <c r="T8" s="664" t="s">
        <v>14</v>
      </c>
      <c r="U8" s="665">
        <f t="shared" si="1"/>
        <v>100</v>
      </c>
      <c r="V8" s="664" t="s">
        <v>14</v>
      </c>
      <c r="W8" s="665">
        <f t="shared" si="2"/>
        <v>100</v>
      </c>
      <c r="X8" s="666"/>
      <c r="Y8" s="3503" t="s">
        <v>1682</v>
      </c>
      <c r="Z8" s="3504"/>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68" t="s">
        <v>1685</v>
      </c>
      <c r="Q9" s="530" t="str">
        <f t="shared" ref="Q9:Q14" si="6">B9</f>
        <v>用途</v>
      </c>
      <c r="R9" s="664" t="s">
        <v>14</v>
      </c>
      <c r="S9" s="665">
        <f t="shared" si="0"/>
        <v>100</v>
      </c>
      <c r="T9" s="664" t="s">
        <v>14</v>
      </c>
      <c r="U9" s="665">
        <f t="shared" si="1"/>
        <v>100</v>
      </c>
      <c r="V9" s="664" t="s">
        <v>14</v>
      </c>
      <c r="W9" s="665">
        <f t="shared" si="2"/>
        <v>100</v>
      </c>
      <c r="X9" s="666"/>
      <c r="Y9" s="3343" t="s">
        <v>1686</v>
      </c>
      <c r="Z9" s="50" t="str">
        <f t="shared" ref="Z9:Z14" si="7">Q9</f>
        <v>用途</v>
      </c>
      <c r="AA9" s="50">
        <f t="shared" si="3"/>
        <v>1</v>
      </c>
      <c r="AB9" s="50">
        <f t="shared" si="4"/>
        <v>1</v>
      </c>
      <c r="AC9" s="50">
        <f t="shared" si="5"/>
        <v>1</v>
      </c>
    </row>
    <row r="10" spans="1:29" s="366" customFormat="1" ht="27">
      <c r="A10" s="363"/>
      <c r="B10" s="364" t="s">
        <v>1687</v>
      </c>
      <c r="C10" s="3130"/>
      <c r="D10" s="119">
        <v>100</v>
      </c>
      <c r="E10" s="3130"/>
      <c r="F10" s="364">
        <f>SUMIF(53:53,E10,54:54)-SUMIF(53:53,C10,54:54)+100</f>
        <v>100</v>
      </c>
      <c r="G10" s="3130"/>
      <c r="H10" s="119">
        <f>SUMIF(53:53,G10,54:54)-SUMIF(53:53,C10,54:54)+100</f>
        <v>100</v>
      </c>
      <c r="I10" s="3130"/>
      <c r="J10" s="119">
        <f>SUMIF(53:53,I10,54:54)-SUMIF(53:53,C10,54:54)+100</f>
        <v>100</v>
      </c>
      <c r="K10" s="38"/>
      <c r="L10" s="2489"/>
      <c r="M10" s="2490"/>
      <c r="N10" s="2490"/>
      <c r="O10" s="2541"/>
      <c r="P10" s="3468"/>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68"/>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68"/>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70" t="s">
        <v>1690</v>
      </c>
      <c r="Q14" s="1262" t="str">
        <f t="shared" si="6"/>
        <v>交通便捷度</v>
      </c>
      <c r="R14" s="667" t="s">
        <v>14</v>
      </c>
      <c r="S14" s="668">
        <f t="shared" si="0"/>
        <v>100</v>
      </c>
      <c r="T14" s="667" t="s">
        <v>14</v>
      </c>
      <c r="U14" s="668">
        <f t="shared" si="1"/>
        <v>100</v>
      </c>
      <c r="V14" s="667" t="s">
        <v>14</v>
      </c>
      <c r="W14" s="668">
        <f t="shared" si="2"/>
        <v>100</v>
      </c>
      <c r="X14" s="1264"/>
      <c r="Y14" s="3470"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71"/>
      <c r="Q15" s="1262"/>
      <c r="R15" s="667"/>
      <c r="S15" s="668"/>
      <c r="T15" s="667"/>
      <c r="U15" s="668"/>
      <c r="V15" s="667"/>
      <c r="W15" s="668"/>
      <c r="X15" s="1264"/>
      <c r="Y15" s="3471"/>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71"/>
      <c r="Q16" s="1262" t="str">
        <f>B16</f>
        <v>公共配套设施</v>
      </c>
      <c r="R16" s="667" t="s">
        <v>14</v>
      </c>
      <c r="S16" s="668">
        <f>F16</f>
        <v>100</v>
      </c>
      <c r="T16" s="667" t="s">
        <v>14</v>
      </c>
      <c r="U16" s="668">
        <f>H16</f>
        <v>100</v>
      </c>
      <c r="V16" s="667" t="s">
        <v>14</v>
      </c>
      <c r="W16" s="668">
        <f>J16</f>
        <v>100</v>
      </c>
      <c r="X16" s="1264"/>
      <c r="Y16" s="347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71"/>
      <c r="Q17" s="1262"/>
      <c r="R17" s="667"/>
      <c r="S17" s="668"/>
      <c r="T17" s="667"/>
      <c r="U17" s="668"/>
      <c r="V17" s="667"/>
      <c r="W17" s="668"/>
      <c r="X17" s="1264"/>
      <c r="Y17" s="3471"/>
      <c r="Z17" s="1263"/>
      <c r="AA17" s="1263">
        <v>1</v>
      </c>
      <c r="AB17" s="1263">
        <v>1</v>
      </c>
      <c r="AC17" s="1263">
        <v>1</v>
      </c>
    </row>
    <row r="18" spans="1:29" ht="15">
      <c r="A18" s="367"/>
      <c r="B18" s="586"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71"/>
      <c r="Q18" s="1262" t="str">
        <f>B18</f>
        <v>基础设施水平</v>
      </c>
      <c r="R18" s="667" t="s">
        <v>14</v>
      </c>
      <c r="S18" s="668">
        <f>F18</f>
        <v>100</v>
      </c>
      <c r="T18" s="667" t="s">
        <v>14</v>
      </c>
      <c r="U18" s="668">
        <f>H18</f>
        <v>100</v>
      </c>
      <c r="V18" s="667" t="s">
        <v>14</v>
      </c>
      <c r="W18" s="668">
        <f>J18</f>
        <v>100</v>
      </c>
      <c r="X18" s="1264"/>
      <c r="Y18" s="347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471"/>
      <c r="Q19" s="1262"/>
      <c r="R19" s="667"/>
      <c r="S19" s="668"/>
      <c r="T19" s="667"/>
      <c r="U19" s="668"/>
      <c r="V19" s="667"/>
      <c r="W19" s="668"/>
      <c r="X19" s="1264"/>
      <c r="Y19" s="3471"/>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71"/>
      <c r="Q20" s="1262" t="str">
        <f>B20</f>
        <v>自然及人文环境</v>
      </c>
      <c r="R20" s="667" t="s">
        <v>14</v>
      </c>
      <c r="S20" s="668">
        <f>F20</f>
        <v>100</v>
      </c>
      <c r="T20" s="667" t="s">
        <v>14</v>
      </c>
      <c r="U20" s="668">
        <f>H20</f>
        <v>100</v>
      </c>
      <c r="V20" s="667" t="s">
        <v>14</v>
      </c>
      <c r="W20" s="668">
        <f>J20</f>
        <v>100</v>
      </c>
      <c r="X20" s="1264"/>
      <c r="Y20" s="347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71"/>
      <c r="Q21" s="1262"/>
      <c r="R21" s="667"/>
      <c r="S21" s="668"/>
      <c r="T21" s="667"/>
      <c r="U21" s="668"/>
      <c r="V21" s="667"/>
      <c r="W21" s="668"/>
      <c r="X21" s="1264"/>
      <c r="Y21" s="3471"/>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71"/>
      <c r="Q22" s="1262" t="str">
        <f>B22</f>
        <v>楼层</v>
      </c>
      <c r="R22" s="667" t="s">
        <v>14</v>
      </c>
      <c r="S22" s="668">
        <f>F22</f>
        <v>100</v>
      </c>
      <c r="T22" s="667" t="s">
        <v>14</v>
      </c>
      <c r="U22" s="668">
        <f>H22</f>
        <v>100</v>
      </c>
      <c r="V22" s="667" t="s">
        <v>14</v>
      </c>
      <c r="W22" s="668">
        <f>J22</f>
        <v>100</v>
      </c>
      <c r="X22" s="1264"/>
      <c r="Y22" s="347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71"/>
      <c r="Q23" s="1262">
        <f>B23</f>
        <v>111</v>
      </c>
      <c r="R23" s="667" t="s">
        <v>14</v>
      </c>
      <c r="S23" s="668">
        <f>F23</f>
        <v>100</v>
      </c>
      <c r="T23" s="667" t="s">
        <v>14</v>
      </c>
      <c r="U23" s="668">
        <f>H23</f>
        <v>100</v>
      </c>
      <c r="V23" s="667" t="s">
        <v>14</v>
      </c>
      <c r="W23" s="668">
        <f>J23</f>
        <v>100</v>
      </c>
      <c r="X23" s="1264"/>
      <c r="Y23" s="347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71"/>
      <c r="Q24" s="1262">
        <f t="shared" ref="Q24:Q34" si="11">B24</f>
        <v>111</v>
      </c>
      <c r="R24" s="667" t="s">
        <v>14</v>
      </c>
      <c r="S24" s="668">
        <f>F24</f>
        <v>100</v>
      </c>
      <c r="T24" s="667" t="s">
        <v>14</v>
      </c>
      <c r="U24" s="668">
        <f>H24</f>
        <v>100</v>
      </c>
      <c r="V24" s="667" t="s">
        <v>14</v>
      </c>
      <c r="W24" s="668">
        <f>J24</f>
        <v>100</v>
      </c>
      <c r="X24" s="1264"/>
      <c r="Y24" s="347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71"/>
      <c r="Q25" s="530">
        <f t="shared" si="11"/>
        <v>111</v>
      </c>
      <c r="R25" s="664" t="s">
        <v>14</v>
      </c>
      <c r="S25" s="665">
        <f>F25</f>
        <v>100</v>
      </c>
      <c r="T25" s="664" t="s">
        <v>14</v>
      </c>
      <c r="U25" s="665">
        <f>H25</f>
        <v>100</v>
      </c>
      <c r="V25" s="664" t="s">
        <v>14</v>
      </c>
      <c r="W25" s="665">
        <f>J25</f>
        <v>100</v>
      </c>
      <c r="X25" s="666"/>
      <c r="Y25" s="3471"/>
      <c r="Z25" s="50">
        <f>Q25</f>
        <v>111</v>
      </c>
      <c r="AA25" s="1263">
        <f>D25/F25</f>
        <v>1</v>
      </c>
      <c r="AB25" s="1263">
        <f>D25/H25</f>
        <v>1</v>
      </c>
      <c r="AC25" s="1263">
        <f>D25/J25</f>
        <v>1</v>
      </c>
    </row>
    <row r="26" spans="1:29" ht="28.5">
      <c r="A26" s="404" t="s">
        <v>1693</v>
      </c>
      <c r="B26" s="60" t="s">
        <v>1837</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525" t="s">
        <v>1695</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75"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75"/>
      <c r="Q27" s="531" t="str">
        <f t="shared" si="11"/>
        <v>成新率</v>
      </c>
      <c r="R27" s="669" t="s">
        <v>14</v>
      </c>
      <c r="S27" s="670" t="e">
        <f t="shared" si="12"/>
        <v>#N/A</v>
      </c>
      <c r="T27" s="669" t="s">
        <v>14</v>
      </c>
      <c r="U27" s="670" t="e">
        <f t="shared" si="13"/>
        <v>#N/A</v>
      </c>
      <c r="V27" s="669" t="s">
        <v>14</v>
      </c>
      <c r="W27" s="670" t="e">
        <f t="shared" si="14"/>
        <v>#N/A</v>
      </c>
      <c r="X27" s="671"/>
      <c r="Y27" s="3475"/>
      <c r="Z27" s="672"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75"/>
      <c r="Q28" s="1262" t="str">
        <f t="shared" si="11"/>
        <v>物业等级</v>
      </c>
      <c r="R28" s="667" t="s">
        <v>14</v>
      </c>
      <c r="S28" s="668">
        <f t="shared" si="12"/>
        <v>100</v>
      </c>
      <c r="T28" s="667" t="s">
        <v>14</v>
      </c>
      <c r="U28" s="668">
        <f t="shared" si="13"/>
        <v>100</v>
      </c>
      <c r="V28" s="667" t="s">
        <v>14</v>
      </c>
      <c r="W28" s="668">
        <f t="shared" si="14"/>
        <v>100</v>
      </c>
      <c r="X28" s="1264"/>
      <c r="Y28" s="3475"/>
      <c r="Z28" s="1263" t="str">
        <f t="shared" si="15"/>
        <v>物业等级</v>
      </c>
      <c r="AA28" s="1263">
        <f t="shared" si="3"/>
        <v>1</v>
      </c>
      <c r="AB28" s="1263">
        <f t="shared" si="4"/>
        <v>1</v>
      </c>
      <c r="AC28" s="1263">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75"/>
      <c r="Q29" s="1262" t="str">
        <f t="shared" si="11"/>
        <v>有无电梯</v>
      </c>
      <c r="R29" s="667" t="s">
        <v>14</v>
      </c>
      <c r="S29" s="668">
        <f t="shared" si="12"/>
        <v>100</v>
      </c>
      <c r="T29" s="667" t="s">
        <v>14</v>
      </c>
      <c r="U29" s="668">
        <f t="shared" si="13"/>
        <v>100</v>
      </c>
      <c r="V29" s="667" t="s">
        <v>14</v>
      </c>
      <c r="W29" s="668">
        <f t="shared" si="14"/>
        <v>100</v>
      </c>
      <c r="X29" s="1264"/>
      <c r="Y29" s="3475"/>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75"/>
      <c r="Q30" s="1262" t="str">
        <f t="shared" si="11"/>
        <v>建筑面积</v>
      </c>
      <c r="R30" s="667" t="s">
        <v>14</v>
      </c>
      <c r="S30" s="668" t="e">
        <f t="shared" si="12"/>
        <v>#N/A</v>
      </c>
      <c r="T30" s="667" t="s">
        <v>14</v>
      </c>
      <c r="U30" s="668" t="e">
        <f t="shared" si="13"/>
        <v>#N/A</v>
      </c>
      <c r="V30" s="667" t="s">
        <v>14</v>
      </c>
      <c r="W30" s="668" t="e">
        <f t="shared" si="14"/>
        <v>#N/A</v>
      </c>
      <c r="X30" s="1264"/>
      <c r="Y30" s="3475"/>
      <c r="Z30" s="1263" t="str">
        <f t="shared" si="15"/>
        <v>建筑面积</v>
      </c>
      <c r="AA30" s="1263" t="e">
        <f t="shared" si="3"/>
        <v>#N/A</v>
      </c>
      <c r="AB30" s="1263" t="e">
        <f t="shared" si="4"/>
        <v>#N/A</v>
      </c>
      <c r="AC30" s="1263"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75"/>
      <c r="Q31" s="530" t="str">
        <f t="shared" si="11"/>
        <v>是否封闭</v>
      </c>
      <c r="R31" s="664" t="s">
        <v>14</v>
      </c>
      <c r="S31" s="665">
        <f t="shared" si="12"/>
        <v>100</v>
      </c>
      <c r="T31" s="664" t="s">
        <v>14</v>
      </c>
      <c r="U31" s="665">
        <f t="shared" si="13"/>
        <v>100</v>
      </c>
      <c r="V31" s="664" t="s">
        <v>14</v>
      </c>
      <c r="W31" s="665">
        <f t="shared" si="14"/>
        <v>100</v>
      </c>
      <c r="X31" s="666"/>
      <c r="Y31" s="34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75" t="s">
        <v>1695</v>
      </c>
      <c r="Q32" s="1262">
        <f t="shared" si="11"/>
        <v>111</v>
      </c>
      <c r="R32" s="667" t="s">
        <v>14</v>
      </c>
      <c r="S32" s="668">
        <f t="shared" si="12"/>
        <v>100</v>
      </c>
      <c r="T32" s="667" t="s">
        <v>14</v>
      </c>
      <c r="U32" s="668">
        <f t="shared" si="13"/>
        <v>100</v>
      </c>
      <c r="V32" s="667" t="s">
        <v>14</v>
      </c>
      <c r="W32" s="668">
        <f t="shared" si="14"/>
        <v>100</v>
      </c>
      <c r="X32" s="1264"/>
      <c r="Y32" s="3475"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75"/>
      <c r="Q33" s="1262">
        <f t="shared" si="11"/>
        <v>111</v>
      </c>
      <c r="R33" s="667" t="s">
        <v>14</v>
      </c>
      <c r="S33" s="668">
        <f t="shared" si="12"/>
        <v>100</v>
      </c>
      <c r="T33" s="667" t="s">
        <v>14</v>
      </c>
      <c r="U33" s="668">
        <f t="shared" si="13"/>
        <v>100</v>
      </c>
      <c r="V33" s="667" t="s">
        <v>14</v>
      </c>
      <c r="W33" s="668">
        <f t="shared" si="14"/>
        <v>100</v>
      </c>
      <c r="X33" s="1264"/>
      <c r="Y33" s="347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75"/>
      <c r="Q34" s="1262">
        <f t="shared" si="11"/>
        <v>111</v>
      </c>
      <c r="R34" s="667" t="s">
        <v>14</v>
      </c>
      <c r="S34" s="668">
        <f t="shared" si="12"/>
        <v>100</v>
      </c>
      <c r="T34" s="667" t="s">
        <v>14</v>
      </c>
      <c r="U34" s="668">
        <f t="shared" si="13"/>
        <v>100</v>
      </c>
      <c r="V34" s="667" t="s">
        <v>14</v>
      </c>
      <c r="W34" s="668">
        <f t="shared" si="14"/>
        <v>100</v>
      </c>
      <c r="X34" s="1264"/>
      <c r="Y34" s="3475"/>
      <c r="Z34" s="1263">
        <f t="shared" si="15"/>
        <v>111</v>
      </c>
      <c r="AA34" s="1263">
        <f t="shared" si="3"/>
        <v>1</v>
      </c>
      <c r="AB34" s="1263">
        <f t="shared" si="4"/>
        <v>1</v>
      </c>
      <c r="AC34" s="1263">
        <f t="shared" si="5"/>
        <v>1</v>
      </c>
    </row>
    <row r="35" spans="1:30" ht="15">
      <c r="A35" s="416" t="s">
        <v>1707</v>
      </c>
      <c r="B35" s="417"/>
      <c r="C35" s="1081" t="s">
        <v>0</v>
      </c>
      <c r="D35" s="418"/>
      <c r="E35" s="419"/>
      <c r="F35" s="420"/>
      <c r="G35" s="421"/>
      <c r="H35" s="422"/>
      <c r="I35" s="419"/>
      <c r="J35" s="422"/>
      <c r="K35" s="674"/>
      <c r="L35" s="2494"/>
      <c r="M35" s="2487"/>
      <c r="N35" s="2487"/>
      <c r="O35" s="2487"/>
      <c r="P35" s="3468" t="str">
        <f>A35</f>
        <v>成交单价（元/平方米）</v>
      </c>
      <c r="Q35" s="3468"/>
      <c r="R35" s="3469">
        <f>E35</f>
        <v>0</v>
      </c>
      <c r="S35" s="3469"/>
      <c r="T35" s="3469">
        <f>G35</f>
        <v>0</v>
      </c>
      <c r="U35" s="3469"/>
      <c r="V35" s="3469">
        <f>I35</f>
        <v>0</v>
      </c>
      <c r="W35" s="3469"/>
      <c r="X35" s="385"/>
      <c r="Y35" s="673"/>
      <c r="Z35" s="385"/>
      <c r="AA35" s="385"/>
      <c r="AB35" s="385"/>
      <c r="AC35" s="385"/>
    </row>
    <row r="36" spans="1:30" ht="15.75" thickBot="1">
      <c r="A36" s="423" t="s">
        <v>1792</v>
      </c>
      <c r="B36" s="424"/>
      <c r="C36" s="1082" t="e">
        <f>R37</f>
        <v>#DIV/0!</v>
      </c>
      <c r="D36" s="2140" t="s">
        <v>2137</v>
      </c>
      <c r="E36" s="1083" t="e">
        <f>R36</f>
        <v>#DIV/0!</v>
      </c>
      <c r="F36" s="2141"/>
      <c r="G36" s="1082" t="e">
        <f>T36</f>
        <v>#DIV/0!</v>
      </c>
      <c r="H36" s="2141"/>
      <c r="I36" s="1083" t="e">
        <f>V36</f>
        <v>#DIV/0!</v>
      </c>
      <c r="J36" s="2141"/>
      <c r="K36" s="2143">
        <f>F36+H36+J36</f>
        <v>0</v>
      </c>
      <c r="L36" s="2494"/>
      <c r="M36" s="2487"/>
      <c r="N36" s="2487"/>
      <c r="O36" s="2487"/>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94"/>
      <c r="M37" s="2487"/>
      <c r="N37" s="2487"/>
      <c r="O37" s="2487"/>
      <c r="P37" s="3465" t="str">
        <f>A37</f>
        <v>估价对象XX用房的比较价值（楼面单价，元/平方米）</v>
      </c>
      <c r="Q37" s="3466"/>
      <c r="R37" s="3526" t="e">
        <f>IF(F1="售价",ROUND(IF(D36="简单平均",AVERAGE(R36:W36),R36*F36+T36*H36+V36*J36),0),ROUND(IF(D36="简单平均",AVERAGE(R36:V36),R36*F36+T36*H36+V36*J36),1))</f>
        <v>#DIV/0!</v>
      </c>
      <c r="S37" s="3526"/>
      <c r="T37" s="3526"/>
      <c r="U37" s="3526"/>
      <c r="V37" s="3526"/>
      <c r="W37" s="352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A13" zoomScale="85" zoomScaleNormal="60" zoomScaleSheetLayoutView="85" workbookViewId="0">
      <selection activeCell="M25" sqref="M2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f>F65</f>
        <v>102992</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ROUND(IF(D3="",B2*10000/'数据-汇总表'!E3,B2*10000/D3),0)</f>
        <v>4089</v>
      </c>
      <c r="C3" s="195" t="s">
        <v>1868</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93" t="s">
        <v>1770</v>
      </c>
      <c r="S4" s="3494"/>
      <c r="T4" s="3493" t="s">
        <v>1771</v>
      </c>
      <c r="U4" s="3494"/>
      <c r="V4" s="3469" t="s">
        <v>1772</v>
      </c>
      <c r="W4" s="3469"/>
      <c r="X4" s="1264"/>
      <c r="Y4" s="3493" t="s">
        <v>1774</v>
      </c>
      <c r="Z4" s="3494"/>
      <c r="AA4" s="3480" t="s">
        <v>1770</v>
      </c>
      <c r="AB4" s="3481" t="s">
        <v>1771</v>
      </c>
      <c r="AC4" s="3480" t="s">
        <v>1772</v>
      </c>
    </row>
    <row r="5" spans="1:29" ht="15">
      <c r="A5" s="348"/>
      <c r="B5" s="349"/>
      <c r="C5" s="3501" t="s">
        <v>1672</v>
      </c>
      <c r="D5" s="3502"/>
      <c r="E5" s="3508" t="str">
        <f>土地案例!A5</f>
        <v>江汉区常青路与发展大道交汇处以南</v>
      </c>
      <c r="F5" s="3509"/>
      <c r="G5" s="3501" t="str">
        <f>土地案例!A6</f>
        <v>硚口区顺道街南侧和游艺路交叉口(天翔灯饰项目)</v>
      </c>
      <c r="H5" s="3502"/>
      <c r="I5" s="3501" t="str">
        <f>土地案例!A11</f>
        <v>江岸区解放大道与球场横路交汇处</v>
      </c>
      <c r="J5" s="3502"/>
      <c r="K5" s="537"/>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499" t="s">
        <v>1676</v>
      </c>
      <c r="D6" s="3500"/>
      <c r="E6" s="3506" t="s">
        <v>1676</v>
      </c>
      <c r="F6" s="3507"/>
      <c r="G6" s="3499" t="s">
        <v>1676</v>
      </c>
      <c r="H6" s="3500"/>
      <c r="I6" s="3499" t="s">
        <v>1676</v>
      </c>
      <c r="J6" s="3500"/>
      <c r="K6" s="537" t="s">
        <v>1677</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1678</v>
      </c>
      <c r="B7" s="353"/>
      <c r="C7" s="354">
        <f>'数据-取费表'!B2</f>
        <v>45792</v>
      </c>
      <c r="D7" s="355">
        <v>100</v>
      </c>
      <c r="E7" s="356" t="str">
        <f>土地案例!M5</f>
        <v>2024-12-13</v>
      </c>
      <c r="F7" s="357">
        <f>SUMIF(69:69,YEAR(E7)&amp;"-"&amp;INT((MONTH(E7)+2)/3),70:70)</f>
        <v>100</v>
      </c>
      <c r="G7" s="1821" t="str">
        <f>土地案例!M6</f>
        <v>2024-11-29</v>
      </c>
      <c r="H7" s="355">
        <f>SUMIF(69:69,YEAR(G7)&amp;"-"&amp;INT((MONTH(G7)+2)/3),70:70)</f>
        <v>100</v>
      </c>
      <c r="I7" s="1821" t="str">
        <f>土地案例!M11</f>
        <v>2024-03-07</v>
      </c>
      <c r="J7" s="355">
        <f>SUMIF(69:69,YEAR(I7)&amp;"-"&amp;INT((MONTH(I7)+2)/3),70:70)</f>
        <v>100</v>
      </c>
      <c r="K7" s="38"/>
      <c r="L7" s="2488"/>
      <c r="M7" s="2439"/>
      <c r="N7" s="2439"/>
      <c r="O7" s="2439"/>
      <c r="P7" s="3503" t="s">
        <v>1679</v>
      </c>
      <c r="Q7" s="3505"/>
      <c r="R7" s="664" t="s">
        <v>14</v>
      </c>
      <c r="S7" s="665">
        <f t="shared" ref="S7:S15" si="0">F7</f>
        <v>100</v>
      </c>
      <c r="T7" s="664" t="s">
        <v>14</v>
      </c>
      <c r="U7" s="665">
        <f t="shared" ref="U7:U15" si="1">H7</f>
        <v>100</v>
      </c>
      <c r="V7" s="664" t="s">
        <v>14</v>
      </c>
      <c r="W7" s="665">
        <f t="shared" ref="W7:W15" si="2">J7</f>
        <v>100</v>
      </c>
      <c r="X7" s="666"/>
      <c r="Y7" s="3503" t="s">
        <v>1679</v>
      </c>
      <c r="Z7" s="3504"/>
      <c r="AA7" s="50">
        <f>D7/F7</f>
        <v>1</v>
      </c>
      <c r="AB7" s="50">
        <f>D7/H7</f>
        <v>1</v>
      </c>
      <c r="AC7" s="50">
        <f>D7/J7</f>
        <v>1</v>
      </c>
    </row>
    <row r="8" spans="1:29" s="102" customFormat="1" ht="15.75" thickBot="1">
      <c r="A8" s="352" t="s">
        <v>1680</v>
      </c>
      <c r="B8" s="353"/>
      <c r="C8" s="358" t="s">
        <v>1681</v>
      </c>
      <c r="D8" s="355">
        <v>100</v>
      </c>
      <c r="E8" s="358" t="s">
        <v>3568</v>
      </c>
      <c r="F8" s="357">
        <f>SUMIF(72:72,E8,73:73)-SUMIF(72:72,C8,73:73)+100</f>
        <v>100</v>
      </c>
      <c r="G8" s="358" t="s">
        <v>3568</v>
      </c>
      <c r="H8" s="355">
        <f>SUMIF(72:72,G8,73:73)-SUMIF(72:72,C8,73:73)+100</f>
        <v>100</v>
      </c>
      <c r="I8" s="358" t="s">
        <v>3568</v>
      </c>
      <c r="J8" s="355">
        <f>SUMIF(72:72,I8,73:73)-SUMIF(72:72,C8,73:73)+100</f>
        <v>100</v>
      </c>
      <c r="K8" s="38"/>
      <c r="L8" s="2488"/>
      <c r="M8" s="2439"/>
      <c r="N8" s="2439"/>
      <c r="O8" s="2439"/>
      <c r="P8" s="3503" t="s">
        <v>1682</v>
      </c>
      <c r="Q8" s="3504"/>
      <c r="R8" s="664" t="s">
        <v>14</v>
      </c>
      <c r="S8" s="665">
        <f t="shared" si="0"/>
        <v>100</v>
      </c>
      <c r="T8" s="664" t="s">
        <v>14</v>
      </c>
      <c r="U8" s="665">
        <f t="shared" si="1"/>
        <v>100</v>
      </c>
      <c r="V8" s="664" t="s">
        <v>14</v>
      </c>
      <c r="W8" s="665">
        <f t="shared" si="2"/>
        <v>100</v>
      </c>
      <c r="X8" s="666"/>
      <c r="Y8" s="3503" t="s">
        <v>1682</v>
      </c>
      <c r="Z8" s="3504"/>
      <c r="AA8" s="50">
        <f t="shared" ref="AA8:AA45" si="3">D8/F8</f>
        <v>1</v>
      </c>
      <c r="AB8" s="50">
        <f t="shared" ref="AB8:AB45" si="4">D8/H8</f>
        <v>1</v>
      </c>
      <c r="AC8" s="50">
        <f t="shared" ref="AC8:AC45" si="5">D8/J8</f>
        <v>1</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68" t="s">
        <v>1685</v>
      </c>
      <c r="Q9" s="530" t="str">
        <f t="shared" ref="Q9:Q15" si="6">B9</f>
        <v>用途</v>
      </c>
      <c r="R9" s="664" t="s">
        <v>14</v>
      </c>
      <c r="S9" s="665">
        <f t="shared" si="0"/>
        <v>100</v>
      </c>
      <c r="T9" s="664" t="s">
        <v>14</v>
      </c>
      <c r="U9" s="665">
        <f t="shared" si="1"/>
        <v>100</v>
      </c>
      <c r="V9" s="664" t="s">
        <v>14</v>
      </c>
      <c r="W9" s="665">
        <f t="shared" si="2"/>
        <v>100</v>
      </c>
      <c r="X9" s="666"/>
      <c r="Y9" s="334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119</v>
      </c>
      <c r="G10" s="402"/>
      <c r="H10" s="119">
        <f>ROUND(100/'数据-取费表'!G16,0)</f>
        <v>119</v>
      </c>
      <c r="I10" s="402"/>
      <c r="J10" s="119">
        <f>ROUND(100/'数据-取费表'!G16,0)</f>
        <v>119</v>
      </c>
      <c r="K10" s="592"/>
      <c r="L10" s="2489"/>
      <c r="M10" s="2490"/>
      <c r="N10" s="2490"/>
      <c r="O10" s="2541"/>
      <c r="P10" s="3468"/>
      <c r="Q10" s="530" t="str">
        <f t="shared" si="6"/>
        <v>土地使用年限（年）</v>
      </c>
      <c r="R10" s="664" t="s">
        <v>14</v>
      </c>
      <c r="S10" s="665">
        <f t="shared" si="0"/>
        <v>119</v>
      </c>
      <c r="T10" s="664" t="s">
        <v>14</v>
      </c>
      <c r="U10" s="665">
        <f t="shared" si="1"/>
        <v>119</v>
      </c>
      <c r="V10" s="664" t="s">
        <v>14</v>
      </c>
      <c r="W10" s="665">
        <f t="shared" si="2"/>
        <v>119</v>
      </c>
      <c r="X10" s="666"/>
      <c r="Y10" s="3343"/>
      <c r="Z10" s="50" t="str">
        <f t="shared" si="7"/>
        <v>土地使用年限（年）</v>
      </c>
      <c r="AA10" s="50">
        <f t="shared" si="3"/>
        <v>0.84033613445378152</v>
      </c>
      <c r="AB10" s="50">
        <f t="shared" si="4"/>
        <v>0.84033613445378152</v>
      </c>
      <c r="AC10" s="50">
        <f t="shared" si="5"/>
        <v>0.84033613445378152</v>
      </c>
    </row>
    <row r="11" spans="1:29" ht="15">
      <c r="A11" s="367"/>
      <c r="B11" s="364" t="s">
        <v>1688</v>
      </c>
      <c r="C11" s="368">
        <f>'数据-汇总表'!I6</f>
        <v>1.1599999999999999</v>
      </c>
      <c r="D11" s="119">
        <v>100</v>
      </c>
      <c r="E11" s="368">
        <v>4.3499999999999996</v>
      </c>
      <c r="F11" s="119">
        <f>LOOKUP(E11,79:79,80:80)-LOOKUP(C11,79:79,80:80)+100</f>
        <v>94</v>
      </c>
      <c r="G11" s="369">
        <v>5</v>
      </c>
      <c r="H11" s="119">
        <f>LOOKUP(G11,79:79,80:80)-LOOKUP(C11,79:79,80:80)+100</f>
        <v>92</v>
      </c>
      <c r="I11" s="368">
        <v>5.99</v>
      </c>
      <c r="J11" s="119">
        <f>LOOKUP(I11,79:79,80:80)-LOOKUP(C11,79:79,80:80)+100</f>
        <v>92</v>
      </c>
      <c r="K11" s="593">
        <v>2</v>
      </c>
      <c r="L11" s="2491"/>
      <c r="M11" s="2487"/>
      <c r="N11" s="2487"/>
      <c r="O11" s="2542"/>
      <c r="P11" s="3468"/>
      <c r="Q11" s="530" t="str">
        <f t="shared" si="6"/>
        <v>容积率</v>
      </c>
      <c r="R11" s="664" t="s">
        <v>14</v>
      </c>
      <c r="S11" s="665">
        <f t="shared" si="0"/>
        <v>94</v>
      </c>
      <c r="T11" s="664" t="s">
        <v>14</v>
      </c>
      <c r="U11" s="665">
        <f t="shared" si="1"/>
        <v>92</v>
      </c>
      <c r="V11" s="664" t="s">
        <v>14</v>
      </c>
      <c r="W11" s="665">
        <f t="shared" si="2"/>
        <v>92</v>
      </c>
      <c r="X11" s="666"/>
      <c r="Y11" s="3343"/>
      <c r="Z11" s="50" t="str">
        <f t="shared" si="7"/>
        <v>容积率</v>
      </c>
      <c r="AA11" s="50">
        <f t="shared" si="3"/>
        <v>1.0638297872340425</v>
      </c>
      <c r="AB11" s="50">
        <f t="shared" si="4"/>
        <v>1.0869565217391304</v>
      </c>
      <c r="AC11" s="50">
        <f t="shared" si="5"/>
        <v>1.0869565217391304</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68"/>
      <c r="Q12" s="530" t="str">
        <f t="shared" si="6"/>
        <v>配建</v>
      </c>
      <c r="R12" s="664" t="s">
        <v>14</v>
      </c>
      <c r="S12" s="665">
        <f t="shared" si="0"/>
        <v>100</v>
      </c>
      <c r="T12" s="664" t="s">
        <v>14</v>
      </c>
      <c r="U12" s="665">
        <f t="shared" si="1"/>
        <v>100</v>
      </c>
      <c r="V12" s="664" t="s">
        <v>14</v>
      </c>
      <c r="W12" s="665">
        <f t="shared" si="2"/>
        <v>100</v>
      </c>
      <c r="X12" s="666"/>
      <c r="Y12" s="33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68"/>
      <c r="Q14" s="530">
        <f t="shared" si="6"/>
        <v>111</v>
      </c>
      <c r="R14" s="664" t="s">
        <v>14</v>
      </c>
      <c r="S14" s="665">
        <f t="shared" si="0"/>
        <v>100</v>
      </c>
      <c r="T14" s="664" t="s">
        <v>14</v>
      </c>
      <c r="U14" s="665">
        <f t="shared" si="1"/>
        <v>100</v>
      </c>
      <c r="V14" s="664" t="s">
        <v>14</v>
      </c>
      <c r="W14" s="665">
        <f t="shared" si="2"/>
        <v>100</v>
      </c>
      <c r="X14" s="666"/>
      <c r="Y14" s="3343"/>
      <c r="Z14" s="50">
        <f t="shared" si="7"/>
        <v>111</v>
      </c>
      <c r="AA14" s="50">
        <f>D14/F14</f>
        <v>1</v>
      </c>
      <c r="AB14" s="50">
        <f>D14/H14</f>
        <v>1</v>
      </c>
      <c r="AC14" s="50">
        <f>D14/J14</f>
        <v>1</v>
      </c>
    </row>
    <row r="15" spans="1:29" ht="15" hidden="1">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70" t="s">
        <v>1690</v>
      </c>
      <c r="Q15" s="1262" t="str">
        <f t="shared" si="6"/>
        <v>居住社区成熟度</v>
      </c>
      <c r="R15" s="667" t="s">
        <v>14</v>
      </c>
      <c r="S15" s="668">
        <f t="shared" si="0"/>
        <v>100</v>
      </c>
      <c r="T15" s="667" t="s">
        <v>14</v>
      </c>
      <c r="U15" s="668">
        <f t="shared" si="1"/>
        <v>100</v>
      </c>
      <c r="V15" s="667" t="s">
        <v>14</v>
      </c>
      <c r="W15" s="668">
        <f t="shared" si="2"/>
        <v>100</v>
      </c>
      <c r="X15" s="1264"/>
      <c r="Y15" s="3470" t="s">
        <v>1690</v>
      </c>
      <c r="Z15" s="1263" t="str">
        <f t="shared" si="7"/>
        <v>居住社区成熟度</v>
      </c>
      <c r="AA15" s="1263">
        <f t="shared" si="3"/>
        <v>1</v>
      </c>
      <c r="AB15" s="1263">
        <f t="shared" si="4"/>
        <v>1</v>
      </c>
      <c r="AC15" s="1263">
        <f t="shared" si="5"/>
        <v>1</v>
      </c>
    </row>
    <row r="16" spans="1:29" ht="15" hidden="1">
      <c r="A16" s="367"/>
      <c r="B16" s="385"/>
      <c r="C16" s="386"/>
      <c r="D16" s="387"/>
      <c r="E16" s="1751"/>
      <c r="F16" s="387"/>
      <c r="G16" s="1751"/>
      <c r="H16" s="389"/>
      <c r="I16" s="1750"/>
      <c r="J16" s="387"/>
      <c r="K16" s="592"/>
      <c r="L16" s="2492"/>
      <c r="M16" s="2487"/>
      <c r="N16" s="2487"/>
      <c r="O16" s="2542"/>
      <c r="P16" s="3471"/>
      <c r="Q16" s="1262"/>
      <c r="R16" s="667"/>
      <c r="S16" s="668"/>
      <c r="T16" s="667"/>
      <c r="U16" s="668"/>
      <c r="V16" s="667"/>
      <c r="W16" s="668"/>
      <c r="X16" s="1264"/>
      <c r="Y16" s="3471"/>
      <c r="Z16" s="1263"/>
      <c r="AA16" s="1263">
        <v>1</v>
      </c>
      <c r="AB16" s="1263">
        <v>1</v>
      </c>
      <c r="AC16" s="1263">
        <v>1</v>
      </c>
    </row>
    <row r="17" spans="1:29" ht="15">
      <c r="A17" s="367"/>
      <c r="B17" s="390" t="s">
        <v>1776</v>
      </c>
      <c r="C17" s="1805">
        <f>估价对象房地状况!C16</f>
        <v>0</v>
      </c>
      <c r="D17" s="389">
        <v>100</v>
      </c>
      <c r="E17" s="391"/>
      <c r="F17" s="389">
        <f>SUMIF(89:89,E18,90:90)-SUMIF(89:89,C18,90:90)+100</f>
        <v>105</v>
      </c>
      <c r="G17" s="391"/>
      <c r="H17" s="394">
        <f>SUMIF(89:89,G18,90:90)-SUMIF(89:89,C18,90:90)+100</f>
        <v>105</v>
      </c>
      <c r="I17" s="393"/>
      <c r="J17" s="394">
        <f>SUMIF(89:89,I18,90:90)-SUMIF(89:89,C18,90:90)+100</f>
        <v>105</v>
      </c>
      <c r="K17" s="593">
        <v>5</v>
      </c>
      <c r="L17" s="2492"/>
      <c r="M17" s="2487"/>
      <c r="N17" s="2487"/>
      <c r="O17" s="2542"/>
      <c r="P17" s="3471"/>
      <c r="Q17" s="1262" t="str">
        <f>B17</f>
        <v>商业繁华度</v>
      </c>
      <c r="R17" s="667" t="s">
        <v>14</v>
      </c>
      <c r="S17" s="668">
        <f>F17</f>
        <v>105</v>
      </c>
      <c r="T17" s="667" t="s">
        <v>14</v>
      </c>
      <c r="U17" s="668">
        <f>H17</f>
        <v>105</v>
      </c>
      <c r="V17" s="667" t="s">
        <v>14</v>
      </c>
      <c r="W17" s="668">
        <f>J17</f>
        <v>105</v>
      </c>
      <c r="X17" s="1264"/>
      <c r="Y17" s="3471"/>
      <c r="Z17" s="1263" t="str">
        <f>Q17</f>
        <v>商业繁华度</v>
      </c>
      <c r="AA17" s="1263">
        <f t="shared" si="3"/>
        <v>0.95238095238095233</v>
      </c>
      <c r="AB17" s="1263">
        <f t="shared" si="4"/>
        <v>0.95238095238095233</v>
      </c>
      <c r="AC17" s="1263">
        <f t="shared" si="5"/>
        <v>0.95238095238095233</v>
      </c>
    </row>
    <row r="18" spans="1:29" ht="15">
      <c r="A18" s="367"/>
      <c r="B18" s="395"/>
      <c r="C18" s="1754" t="s">
        <v>3587</v>
      </c>
      <c r="D18" s="389"/>
      <c r="E18" s="1756" t="s">
        <v>3588</v>
      </c>
      <c r="F18" s="389"/>
      <c r="G18" s="1756" t="s">
        <v>3588</v>
      </c>
      <c r="H18" s="387"/>
      <c r="I18" s="1755" t="s">
        <v>3588</v>
      </c>
      <c r="J18" s="387"/>
      <c r="K18" s="592"/>
      <c r="L18" s="2492"/>
      <c r="M18" s="2487"/>
      <c r="N18" s="2487"/>
      <c r="O18" s="2542"/>
      <c r="P18" s="3471"/>
      <c r="Q18" s="1262"/>
      <c r="R18" s="667"/>
      <c r="S18" s="668"/>
      <c r="T18" s="667"/>
      <c r="U18" s="668"/>
      <c r="V18" s="667"/>
      <c r="W18" s="668"/>
      <c r="X18" s="1264"/>
      <c r="Y18" s="3471"/>
      <c r="Z18" s="1263"/>
      <c r="AA18" s="1263">
        <v>1</v>
      </c>
      <c r="AB18" s="1263">
        <v>1</v>
      </c>
      <c r="AC18" s="1263">
        <v>1</v>
      </c>
    </row>
    <row r="19" spans="1:29" ht="15" hidden="1">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71"/>
      <c r="Q19" s="1262" t="str">
        <f>B19</f>
        <v>办公集聚程度</v>
      </c>
      <c r="R19" s="667" t="s">
        <v>14</v>
      </c>
      <c r="S19" s="668">
        <f>F19</f>
        <v>100</v>
      </c>
      <c r="T19" s="667" t="s">
        <v>14</v>
      </c>
      <c r="U19" s="668">
        <f>H19</f>
        <v>100</v>
      </c>
      <c r="V19" s="667" t="s">
        <v>14</v>
      </c>
      <c r="W19" s="668">
        <f>J19</f>
        <v>100</v>
      </c>
      <c r="X19" s="1264"/>
      <c r="Y19" s="3471"/>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92"/>
      <c r="M20" s="2487"/>
      <c r="N20" s="2487"/>
      <c r="O20" s="2542"/>
      <c r="P20" s="3471"/>
      <c r="Q20" s="1262"/>
      <c r="R20" s="667"/>
      <c r="S20" s="668"/>
      <c r="T20" s="667"/>
      <c r="U20" s="668"/>
      <c r="V20" s="667"/>
      <c r="W20" s="668"/>
      <c r="X20" s="1264"/>
      <c r="Y20" s="3471"/>
      <c r="Z20" s="1263"/>
      <c r="AA20" s="1263">
        <v>1</v>
      </c>
      <c r="AB20" s="1263">
        <v>1</v>
      </c>
      <c r="AC20" s="1263">
        <v>1</v>
      </c>
    </row>
    <row r="21" spans="1:29" ht="15">
      <c r="A21" s="367"/>
      <c r="B21" s="390" t="s">
        <v>1832</v>
      </c>
      <c r="C21" s="1753">
        <f>估价对象房地状况!C18</f>
        <v>0</v>
      </c>
      <c r="D21" s="389">
        <v>100</v>
      </c>
      <c r="E21" s="391"/>
      <c r="F21" s="394">
        <f>SUMIF(93:93,E22,94:94)-SUMIF(93:93,C22,94:94)+100</f>
        <v>105</v>
      </c>
      <c r="G21" s="391"/>
      <c r="H21" s="389">
        <f>SUMIF(93:93,G22,94:94)-SUMIF(93:93,C22,94:94)+100</f>
        <v>105</v>
      </c>
      <c r="I21" s="393"/>
      <c r="J21" s="389">
        <f>SUMIF(93:93,I22,94:94)-SUMIF(93:93,C22,94:94)+100</f>
        <v>105</v>
      </c>
      <c r="K21" s="593">
        <v>5</v>
      </c>
      <c r="L21" s="2492"/>
      <c r="M21" s="2487"/>
      <c r="N21" s="2487"/>
      <c r="O21" s="2542"/>
      <c r="P21" s="3471"/>
      <c r="Q21" s="1262" t="str">
        <f>B21</f>
        <v>交通便捷度</v>
      </c>
      <c r="R21" s="667" t="s">
        <v>14</v>
      </c>
      <c r="S21" s="668">
        <f>F21</f>
        <v>105</v>
      </c>
      <c r="T21" s="667" t="s">
        <v>14</v>
      </c>
      <c r="U21" s="668">
        <f>H21</f>
        <v>105</v>
      </c>
      <c r="V21" s="667" t="s">
        <v>14</v>
      </c>
      <c r="W21" s="668">
        <f>J21</f>
        <v>105</v>
      </c>
      <c r="X21" s="1264"/>
      <c r="Y21" s="3471"/>
      <c r="Z21" s="1263" t="str">
        <f>Q21</f>
        <v>交通便捷度</v>
      </c>
      <c r="AA21" s="1263">
        <f t="shared" si="3"/>
        <v>0.95238095238095233</v>
      </c>
      <c r="AB21" s="1263">
        <f t="shared" si="4"/>
        <v>0.95238095238095233</v>
      </c>
      <c r="AC21" s="1263">
        <f t="shared" si="5"/>
        <v>0.95238095238095233</v>
      </c>
    </row>
    <row r="22" spans="1:29" ht="15">
      <c r="A22" s="367"/>
      <c r="B22" s="586"/>
      <c r="C22" s="386" t="s">
        <v>3587</v>
      </c>
      <c r="D22" s="389"/>
      <c r="E22" s="1751" t="s">
        <v>3588</v>
      </c>
      <c r="F22" s="387"/>
      <c r="G22" s="1751" t="s">
        <v>3588</v>
      </c>
      <c r="H22" s="387"/>
      <c r="I22" s="1750" t="s">
        <v>3588</v>
      </c>
      <c r="J22" s="387"/>
      <c r="K22" s="592"/>
      <c r="L22" s="2492"/>
      <c r="M22" s="2487"/>
      <c r="N22" s="2487"/>
      <c r="O22" s="2542"/>
      <c r="P22" s="3471"/>
      <c r="Q22" s="1262"/>
      <c r="R22" s="667"/>
      <c r="S22" s="668"/>
      <c r="T22" s="667"/>
      <c r="U22" s="668"/>
      <c r="V22" s="667"/>
      <c r="W22" s="668"/>
      <c r="X22" s="1264"/>
      <c r="Y22" s="3471"/>
      <c r="Z22" s="1263"/>
      <c r="AA22" s="1263">
        <v>1</v>
      </c>
      <c r="AB22" s="1263">
        <v>1</v>
      </c>
      <c r="AC22" s="1263">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3</v>
      </c>
      <c r="L23" s="2492"/>
      <c r="M23" s="2487"/>
      <c r="N23" s="2487"/>
      <c r="O23" s="2542"/>
      <c r="P23" s="3471"/>
      <c r="Q23" s="1262" t="str">
        <f t="shared" ref="Q23:Q37" si="8">B23</f>
        <v>区域土地利用方向</v>
      </c>
      <c r="R23" s="667" t="s">
        <v>14</v>
      </c>
      <c r="S23" s="668">
        <f>F23</f>
        <v>100</v>
      </c>
      <c r="T23" s="667" t="s">
        <v>14</v>
      </c>
      <c r="U23" s="668">
        <f>H23</f>
        <v>100</v>
      </c>
      <c r="V23" s="667" t="s">
        <v>14</v>
      </c>
      <c r="W23" s="668">
        <f>J23</f>
        <v>100</v>
      </c>
      <c r="X23" s="1264"/>
      <c r="Y23" s="3471"/>
      <c r="Z23" s="1263" t="str">
        <f>Q23</f>
        <v>区域土地利用方向</v>
      </c>
      <c r="AA23" s="1263">
        <f t="shared" si="3"/>
        <v>1</v>
      </c>
      <c r="AB23" s="1263">
        <f t="shared" si="4"/>
        <v>1</v>
      </c>
      <c r="AC23" s="1263">
        <f t="shared" si="5"/>
        <v>1</v>
      </c>
    </row>
    <row r="24" spans="1:29" ht="15">
      <c r="A24" s="348"/>
      <c r="B24" s="395"/>
      <c r="C24" s="542" t="s">
        <v>3587</v>
      </c>
      <c r="D24" s="387"/>
      <c r="E24" s="542" t="s">
        <v>3587</v>
      </c>
      <c r="F24" s="387"/>
      <c r="G24" s="542" t="s">
        <v>3587</v>
      </c>
      <c r="H24" s="387"/>
      <c r="I24" s="542" t="s">
        <v>3587</v>
      </c>
      <c r="J24" s="387"/>
      <c r="K24" s="698"/>
      <c r="L24" s="2492"/>
      <c r="M24" s="2487"/>
      <c r="N24" s="2487"/>
      <c r="O24" s="2542"/>
      <c r="P24" s="3471"/>
      <c r="Q24" s="1262"/>
      <c r="R24" s="667"/>
      <c r="S24" s="668"/>
      <c r="T24" s="667"/>
      <c r="U24" s="668"/>
      <c r="V24" s="667"/>
      <c r="W24" s="668"/>
      <c r="X24" s="1264"/>
      <c r="Y24" s="3471"/>
      <c r="Z24" s="1263"/>
      <c r="AA24" s="1263"/>
      <c r="AB24" s="1263"/>
      <c r="AC24" s="1263"/>
    </row>
    <row r="25" spans="1:29" ht="27">
      <c r="A25" s="348"/>
      <c r="B25" s="586" t="s">
        <v>1871</v>
      </c>
      <c r="C25" s="1805">
        <f>估价对象房地状况!C20</f>
        <v>0</v>
      </c>
      <c r="D25" s="389">
        <v>100</v>
      </c>
      <c r="E25" s="391"/>
      <c r="F25" s="389">
        <f>SUMIF(97:97,E26,98:98)-SUMIF(97:97,C26,98:98)+100</f>
        <v>103</v>
      </c>
      <c r="G25" s="391"/>
      <c r="H25" s="389">
        <f>SUMIF(97:97,G26,98:98)-SUMIF(97:97,C26,98:98)+100</f>
        <v>103</v>
      </c>
      <c r="I25" s="393"/>
      <c r="J25" s="389">
        <f>SUMIF(97:97,I26,98:98)-SUMIF(97:97,C26,98:98)+100</f>
        <v>103</v>
      </c>
      <c r="K25" s="593">
        <v>3</v>
      </c>
      <c r="L25" s="2492"/>
      <c r="M25" s="2487"/>
      <c r="N25" s="2487"/>
      <c r="O25" s="2542"/>
      <c r="P25" s="3471"/>
      <c r="Q25" s="1262" t="str">
        <f t="shared" si="8"/>
        <v>自然及人文环境状况</v>
      </c>
      <c r="R25" s="667" t="s">
        <v>14</v>
      </c>
      <c r="S25" s="668">
        <f>F25</f>
        <v>103</v>
      </c>
      <c r="T25" s="667" t="s">
        <v>14</v>
      </c>
      <c r="U25" s="668">
        <f>H25</f>
        <v>103</v>
      </c>
      <c r="V25" s="667" t="s">
        <v>14</v>
      </c>
      <c r="W25" s="668">
        <f>J25</f>
        <v>103</v>
      </c>
      <c r="X25" s="1264"/>
      <c r="Y25" s="3471"/>
      <c r="Z25" s="1263" t="str">
        <f>Q25</f>
        <v>自然及人文环境状况</v>
      </c>
      <c r="AA25" s="1263">
        <f t="shared" si="3"/>
        <v>0.970873786407767</v>
      </c>
      <c r="AB25" s="1263">
        <f t="shared" si="4"/>
        <v>0.970873786407767</v>
      </c>
      <c r="AC25" s="1263">
        <f t="shared" si="5"/>
        <v>0.970873786407767</v>
      </c>
    </row>
    <row r="26" spans="1:29" ht="15">
      <c r="A26" s="348"/>
      <c r="B26" s="395"/>
      <c r="C26" s="386" t="s">
        <v>3587</v>
      </c>
      <c r="D26" s="387"/>
      <c r="E26" s="1757" t="s">
        <v>3588</v>
      </c>
      <c r="F26" s="387"/>
      <c r="G26" s="1757" t="s">
        <v>3588</v>
      </c>
      <c r="H26" s="387"/>
      <c r="I26" s="386" t="s">
        <v>3588</v>
      </c>
      <c r="J26" s="387"/>
      <c r="K26" s="592"/>
      <c r="L26" s="2492"/>
      <c r="M26" s="2487"/>
      <c r="N26" s="2487"/>
      <c r="O26" s="2542"/>
      <c r="P26" s="3471"/>
      <c r="Q26" s="1262"/>
      <c r="R26" s="667"/>
      <c r="S26" s="668"/>
      <c r="T26" s="667"/>
      <c r="U26" s="668"/>
      <c r="V26" s="667"/>
      <c r="W26" s="668"/>
      <c r="X26" s="1264"/>
      <c r="Y26" s="3471"/>
      <c r="Z26" s="1263"/>
      <c r="AA26" s="1263">
        <v>1</v>
      </c>
      <c r="AB26" s="1263">
        <v>1</v>
      </c>
      <c r="AC26" s="1263">
        <v>1</v>
      </c>
    </row>
    <row r="27" spans="1:29" s="102" customFormat="1" ht="15">
      <c r="A27" s="443"/>
      <c r="B27" s="586"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3</v>
      </c>
      <c r="L27" s="2488"/>
      <c r="M27" s="2439"/>
      <c r="N27" s="2439"/>
      <c r="O27" s="2540"/>
      <c r="P27" s="3471"/>
      <c r="Q27" s="530" t="str">
        <f t="shared" si="8"/>
        <v>公共配套设施</v>
      </c>
      <c r="R27" s="664" t="s">
        <v>14</v>
      </c>
      <c r="S27" s="665">
        <f>F27</f>
        <v>100</v>
      </c>
      <c r="T27" s="664" t="s">
        <v>14</v>
      </c>
      <c r="U27" s="665">
        <f>H27</f>
        <v>100</v>
      </c>
      <c r="V27" s="664" t="s">
        <v>14</v>
      </c>
      <c r="W27" s="665">
        <f>J27</f>
        <v>100</v>
      </c>
      <c r="X27" s="666"/>
      <c r="Y27" s="3471"/>
      <c r="Z27" s="50" t="str">
        <f>Q27</f>
        <v>公共配套设施</v>
      </c>
      <c r="AA27" s="1263">
        <f>D27/F27</f>
        <v>1</v>
      </c>
      <c r="AB27" s="1263">
        <f>D27/H27</f>
        <v>1</v>
      </c>
      <c r="AC27" s="1263">
        <f>D27/J27</f>
        <v>1</v>
      </c>
    </row>
    <row r="28" spans="1:29" s="102" customFormat="1" ht="15">
      <c r="A28" s="443"/>
      <c r="B28" s="395"/>
      <c r="C28" s="1825" t="s">
        <v>3587</v>
      </c>
      <c r="D28" s="387"/>
      <c r="E28" s="1825" t="s">
        <v>3587</v>
      </c>
      <c r="F28" s="387"/>
      <c r="G28" s="1825" t="s">
        <v>3587</v>
      </c>
      <c r="H28" s="387"/>
      <c r="I28" s="1825" t="s">
        <v>3587</v>
      </c>
      <c r="J28" s="387"/>
      <c r="K28" s="592"/>
      <c r="L28" s="2488"/>
      <c r="M28" s="2439"/>
      <c r="N28" s="2439"/>
      <c r="O28" s="2540"/>
      <c r="P28" s="3471"/>
      <c r="Q28" s="530"/>
      <c r="R28" s="664"/>
      <c r="S28" s="665"/>
      <c r="T28" s="664"/>
      <c r="U28" s="665"/>
      <c r="V28" s="664"/>
      <c r="W28" s="665"/>
      <c r="X28" s="666"/>
      <c r="Y28" s="3471"/>
      <c r="Z28" s="50"/>
      <c r="AA28" s="1263">
        <v>1</v>
      </c>
      <c r="AB28" s="1263">
        <v>1</v>
      </c>
      <c r="AC28" s="1263">
        <v>1</v>
      </c>
    </row>
    <row r="29" spans="1:29" s="102" customFormat="1" ht="15">
      <c r="A29" s="443"/>
      <c r="B29" s="586"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71"/>
      <c r="Q29" s="530" t="str">
        <f t="shared" ref="Q29" si="9">B29</f>
        <v>基础设施水平</v>
      </c>
      <c r="R29" s="664" t="s">
        <v>14</v>
      </c>
      <c r="S29" s="665">
        <f>F29</f>
        <v>100</v>
      </c>
      <c r="T29" s="664" t="s">
        <v>14</v>
      </c>
      <c r="U29" s="665">
        <f>H29</f>
        <v>100</v>
      </c>
      <c r="V29" s="664" t="s">
        <v>14</v>
      </c>
      <c r="W29" s="665">
        <f>J29</f>
        <v>100</v>
      </c>
      <c r="X29" s="666"/>
      <c r="Y29" s="3471"/>
      <c r="Z29" s="50" t="str">
        <f>Q29</f>
        <v>基础设施水平</v>
      </c>
      <c r="AA29" s="1263">
        <f>D29/F29</f>
        <v>1</v>
      </c>
      <c r="AB29" s="1263">
        <f>D29/H29</f>
        <v>1</v>
      </c>
      <c r="AC29" s="1263">
        <f>D29/J29</f>
        <v>1</v>
      </c>
    </row>
    <row r="30" spans="1:29" s="102" customFormat="1" ht="15.75" thickBot="1">
      <c r="A30" s="443"/>
      <c r="B30" s="395"/>
      <c r="C30" s="1825" t="s">
        <v>3622</v>
      </c>
      <c r="D30" s="387"/>
      <c r="E30" s="1825" t="s">
        <v>3622</v>
      </c>
      <c r="F30" s="387"/>
      <c r="G30" s="1825" t="s">
        <v>3622</v>
      </c>
      <c r="H30" s="387"/>
      <c r="I30" s="1825" t="s">
        <v>3622</v>
      </c>
      <c r="J30" s="387"/>
      <c r="K30" s="592"/>
      <c r="L30" s="2488"/>
      <c r="M30" s="2439"/>
      <c r="N30" s="2439"/>
      <c r="O30" s="2540"/>
      <c r="P30" s="3471"/>
      <c r="Q30" s="530"/>
      <c r="R30" s="664"/>
      <c r="S30" s="665"/>
      <c r="T30" s="664"/>
      <c r="U30" s="665"/>
      <c r="V30" s="664"/>
      <c r="W30" s="665"/>
      <c r="X30" s="666"/>
      <c r="Y30" s="3471"/>
      <c r="Z30" s="50"/>
      <c r="AA30" s="1263">
        <v>1</v>
      </c>
      <c r="AB30" s="1263">
        <v>1</v>
      </c>
      <c r="AC30" s="1263">
        <v>1</v>
      </c>
    </row>
    <row r="31" spans="1:29" ht="15.75" hidden="1" thickBot="1">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7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71"/>
      <c r="Z31" s="1263" t="str">
        <f t="shared" ref="Z31:Z45" si="13">Q31</f>
        <v>临街状况</v>
      </c>
      <c r="AA31" s="1263">
        <f t="shared" si="3"/>
        <v>1</v>
      </c>
      <c r="AB31" s="1263">
        <f t="shared" si="4"/>
        <v>1</v>
      </c>
      <c r="AC31" s="1263">
        <f t="shared" si="5"/>
        <v>1</v>
      </c>
    </row>
    <row r="32" spans="1:29" ht="27" hidden="1">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71"/>
      <c r="Q32" s="1262" t="str">
        <f t="shared" si="8"/>
        <v>毗邻道路的类型与等级</v>
      </c>
      <c r="R32" s="667" t="s">
        <v>14</v>
      </c>
      <c r="S32" s="668">
        <f t="shared" si="10"/>
        <v>100</v>
      </c>
      <c r="T32" s="667" t="s">
        <v>14</v>
      </c>
      <c r="U32" s="668">
        <f t="shared" si="11"/>
        <v>100</v>
      </c>
      <c r="V32" s="667" t="s">
        <v>14</v>
      </c>
      <c r="W32" s="668">
        <f t="shared" si="12"/>
        <v>100</v>
      </c>
      <c r="X32" s="1264"/>
      <c r="Y32" s="3471"/>
      <c r="Z32" s="1263" t="str">
        <f t="shared" si="13"/>
        <v>毗邻道路的类型与等级</v>
      </c>
      <c r="AA32" s="1263">
        <f t="shared" si="3"/>
        <v>1</v>
      </c>
      <c r="AB32" s="1263">
        <f t="shared" si="4"/>
        <v>1</v>
      </c>
      <c r="AC32" s="1263">
        <f t="shared" si="5"/>
        <v>1</v>
      </c>
    </row>
    <row r="33" spans="1:29" ht="15" hidden="1">
      <c r="A33" s="367"/>
      <c r="B33" s="395"/>
      <c r="C33" s="386"/>
      <c r="D33" s="387"/>
      <c r="E33" s="1757"/>
      <c r="F33" s="387"/>
      <c r="G33" s="1757"/>
      <c r="H33" s="387"/>
      <c r="I33" s="386"/>
      <c r="J33" s="387"/>
      <c r="K33" s="539"/>
      <c r="L33" s="2492"/>
      <c r="M33" s="2487"/>
      <c r="N33" s="2487"/>
      <c r="O33" s="2542"/>
      <c r="P33" s="3471"/>
      <c r="Q33" s="1262"/>
      <c r="R33" s="667"/>
      <c r="S33" s="668"/>
      <c r="T33" s="667"/>
      <c r="U33" s="668"/>
      <c r="V33" s="667"/>
      <c r="W33" s="668"/>
      <c r="X33" s="1264"/>
      <c r="Y33" s="3471"/>
      <c r="Z33" s="1263"/>
      <c r="AA33" s="1263">
        <v>1</v>
      </c>
      <c r="AB33" s="1263">
        <v>1</v>
      </c>
      <c r="AC33" s="1263">
        <v>1</v>
      </c>
    </row>
    <row r="34" spans="1:29" ht="15.75" hidden="1" thickBot="1">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71"/>
      <c r="Q34" s="1262" t="str">
        <f t="shared" si="8"/>
        <v>土地级别</v>
      </c>
      <c r="R34" s="667" t="s">
        <v>14</v>
      </c>
      <c r="S34" s="668">
        <f t="shared" si="10"/>
        <v>100</v>
      </c>
      <c r="T34" s="667" t="s">
        <v>14</v>
      </c>
      <c r="U34" s="668">
        <f t="shared" si="11"/>
        <v>100</v>
      </c>
      <c r="V34" s="667" t="s">
        <v>14</v>
      </c>
      <c r="W34" s="668">
        <f t="shared" si="12"/>
        <v>100</v>
      </c>
      <c r="X34" s="1264"/>
      <c r="Y34" s="3471"/>
      <c r="Z34" s="1263" t="str">
        <f t="shared" si="13"/>
        <v>土地级别</v>
      </c>
      <c r="AA34" s="1263">
        <f t="shared" si="3"/>
        <v>1</v>
      </c>
      <c r="AB34" s="1263">
        <f t="shared" si="4"/>
        <v>1</v>
      </c>
      <c r="AC34" s="1263">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71"/>
      <c r="Q35" s="1262">
        <f t="shared" si="8"/>
        <v>111</v>
      </c>
      <c r="R35" s="667" t="s">
        <v>14</v>
      </c>
      <c r="S35" s="668">
        <f t="shared" si="10"/>
        <v>100</v>
      </c>
      <c r="T35" s="667" t="s">
        <v>14</v>
      </c>
      <c r="U35" s="668">
        <f t="shared" si="11"/>
        <v>100</v>
      </c>
      <c r="V35" s="667" t="s">
        <v>14</v>
      </c>
      <c r="W35" s="668">
        <f t="shared" si="12"/>
        <v>100</v>
      </c>
      <c r="X35" s="1264"/>
      <c r="Y35" s="3471"/>
      <c r="Z35" s="1263">
        <f t="shared" si="13"/>
        <v>111</v>
      </c>
      <c r="AA35" s="1263">
        <f t="shared" si="3"/>
        <v>1</v>
      </c>
      <c r="AB35" s="1263">
        <f t="shared" si="4"/>
        <v>1</v>
      </c>
      <c r="AC35" s="1263">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25" t="s">
        <v>1695</v>
      </c>
      <c r="Q36" s="1262">
        <f t="shared" si="8"/>
        <v>111</v>
      </c>
      <c r="R36" s="667" t="s">
        <v>14</v>
      </c>
      <c r="S36" s="668">
        <f t="shared" si="10"/>
        <v>100</v>
      </c>
      <c r="T36" s="667" t="s">
        <v>14</v>
      </c>
      <c r="U36" s="668">
        <f t="shared" si="11"/>
        <v>100</v>
      </c>
      <c r="V36" s="667" t="s">
        <v>14</v>
      </c>
      <c r="W36" s="668">
        <f t="shared" si="12"/>
        <v>100</v>
      </c>
      <c r="X36" s="1264"/>
      <c r="Y36" s="3475" t="s">
        <v>1695</v>
      </c>
      <c r="Z36" s="1263">
        <f t="shared" si="13"/>
        <v>111</v>
      </c>
      <c r="AA36" s="1263">
        <f t="shared" si="3"/>
        <v>1</v>
      </c>
      <c r="AB36" s="1263">
        <f t="shared" si="4"/>
        <v>1</v>
      </c>
      <c r="AC36" s="1263">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75"/>
      <c r="Q37" s="1262">
        <f t="shared" si="8"/>
        <v>111</v>
      </c>
      <c r="R37" s="669" t="s">
        <v>14</v>
      </c>
      <c r="S37" s="670">
        <f t="shared" si="10"/>
        <v>100</v>
      </c>
      <c r="T37" s="669" t="s">
        <v>14</v>
      </c>
      <c r="U37" s="670">
        <f t="shared" si="11"/>
        <v>100</v>
      </c>
      <c r="V37" s="669" t="s">
        <v>14</v>
      </c>
      <c r="W37" s="670">
        <f t="shared" si="12"/>
        <v>100</v>
      </c>
      <c r="X37" s="671"/>
      <c r="Y37" s="3475"/>
      <c r="Z37" s="672">
        <f t="shared" si="13"/>
        <v>111</v>
      </c>
      <c r="AA37" s="1263">
        <f t="shared" si="3"/>
        <v>1</v>
      </c>
      <c r="AB37" s="1263">
        <f t="shared" si="4"/>
        <v>1</v>
      </c>
      <c r="AC37" s="1263">
        <f t="shared" si="5"/>
        <v>1</v>
      </c>
    </row>
    <row r="38" spans="1:29" ht="15">
      <c r="A38" s="409" t="s">
        <v>1693</v>
      </c>
      <c r="B38" s="395" t="s">
        <v>1873</v>
      </c>
      <c r="C38" s="599">
        <f>'数据-基础表'!A3</f>
        <v>219299.99</v>
      </c>
      <c r="D38" s="405">
        <v>100</v>
      </c>
      <c r="E38" s="599">
        <f>土地案例!F5</f>
        <v>4587.29</v>
      </c>
      <c r="F38" s="405">
        <f>LOOKUP(E38,116:116,117:117)-LOOKUP(C38,116:116,117:117)+100</f>
        <v>102</v>
      </c>
      <c r="G38" s="599">
        <f>土地案例!F6</f>
        <v>5989</v>
      </c>
      <c r="H38" s="405">
        <f>LOOKUP(G38,116:116,117:117)-LOOKUP(C38,116:116,117:117)+100</f>
        <v>102</v>
      </c>
      <c r="I38" s="462">
        <f>土地案例!F11</f>
        <v>11347.57</v>
      </c>
      <c r="J38" s="405">
        <f>LOOKUP(I38,116:116,117:117)-LOOKUP(C38,116:116,117:117)+100</f>
        <v>102</v>
      </c>
      <c r="K38" s="539"/>
      <c r="L38" s="2492"/>
      <c r="M38" s="2487"/>
      <c r="N38" s="2487"/>
      <c r="O38" s="2542"/>
      <c r="P38" s="3475"/>
      <c r="Q38" s="1262" t="str">
        <f>B38</f>
        <v>宗地面积</v>
      </c>
      <c r="R38" s="667" t="s">
        <v>14</v>
      </c>
      <c r="S38" s="668">
        <f t="shared" si="10"/>
        <v>102</v>
      </c>
      <c r="T38" s="667" t="s">
        <v>14</v>
      </c>
      <c r="U38" s="668">
        <f t="shared" si="11"/>
        <v>102</v>
      </c>
      <c r="V38" s="667" t="s">
        <v>14</v>
      </c>
      <c r="W38" s="668">
        <f t="shared" si="12"/>
        <v>102</v>
      </c>
      <c r="X38" s="1264"/>
      <c r="Y38" s="3475"/>
      <c r="Z38" s="1263" t="str">
        <f t="shared" si="13"/>
        <v>宗地面积</v>
      </c>
      <c r="AA38" s="1263">
        <f t="shared" si="3"/>
        <v>0.98039215686274506</v>
      </c>
      <c r="AB38" s="1263">
        <f t="shared" si="4"/>
        <v>0.98039215686274506</v>
      </c>
      <c r="AC38" s="1263">
        <f t="shared" si="5"/>
        <v>0.98039215686274506</v>
      </c>
    </row>
    <row r="39" spans="1:29" ht="15">
      <c r="A39" s="409"/>
      <c r="B39" s="364" t="s">
        <v>1874</v>
      </c>
      <c r="C39" s="1759" t="s">
        <v>3623</v>
      </c>
      <c r="D39" s="374">
        <v>100</v>
      </c>
      <c r="E39" s="1759" t="s">
        <v>3623</v>
      </c>
      <c r="F39" s="374">
        <f>SUMIF(118:118,E39,119:119)-SUMIF(118:118,C39,119:119)+100</f>
        <v>100</v>
      </c>
      <c r="G39" s="1759" t="s">
        <v>3623</v>
      </c>
      <c r="H39" s="374">
        <f>SUMIF(118:118,G39,119:119)-SUMIF(118:118,C39,119:119)+100</f>
        <v>100</v>
      </c>
      <c r="I39" s="1759" t="s">
        <v>3623</v>
      </c>
      <c r="J39" s="374">
        <f>SUMIF(118:118,I39,119:119)-SUMIF(118:118,C39,119:119)+100</f>
        <v>100</v>
      </c>
      <c r="K39" s="538"/>
      <c r="L39" s="2492"/>
      <c r="M39" s="2487"/>
      <c r="N39" s="2487"/>
      <c r="O39" s="2542"/>
      <c r="P39" s="3475"/>
      <c r="Q39" s="1262" t="str">
        <f t="shared" ref="Q39:Q45" si="14">B39</f>
        <v>宗地形状</v>
      </c>
      <c r="R39" s="667" t="s">
        <v>14</v>
      </c>
      <c r="S39" s="668">
        <f t="shared" si="10"/>
        <v>100</v>
      </c>
      <c r="T39" s="667" t="s">
        <v>14</v>
      </c>
      <c r="U39" s="668">
        <f t="shared" si="11"/>
        <v>100</v>
      </c>
      <c r="V39" s="667" t="s">
        <v>14</v>
      </c>
      <c r="W39" s="668">
        <f t="shared" si="12"/>
        <v>100</v>
      </c>
      <c r="X39" s="1264"/>
      <c r="Y39" s="3475"/>
      <c r="Z39" s="1263" t="str">
        <f t="shared" si="13"/>
        <v>宗地形状</v>
      </c>
      <c r="AA39" s="1263">
        <f t="shared" si="3"/>
        <v>1</v>
      </c>
      <c r="AB39" s="1263">
        <f t="shared" si="4"/>
        <v>1</v>
      </c>
      <c r="AC39" s="1263">
        <f t="shared" si="5"/>
        <v>1</v>
      </c>
    </row>
    <row r="40" spans="1:29" ht="15">
      <c r="A40" s="409"/>
      <c r="B40" s="364" t="s">
        <v>1875</v>
      </c>
      <c r="C40" s="1759" t="s">
        <v>3624</v>
      </c>
      <c r="D40" s="374">
        <v>100</v>
      </c>
      <c r="E40" s="1759" t="s">
        <v>3624</v>
      </c>
      <c r="F40" s="374">
        <f>SUMIF(120:120,E40,121:121)-SUMIF(120:120,C40,121:121)+100</f>
        <v>100</v>
      </c>
      <c r="G40" s="1759" t="s">
        <v>3624</v>
      </c>
      <c r="H40" s="374">
        <f>SUMIF(120:120,G40,121:121)-SUMIF(120:120,C40,121:121)+100</f>
        <v>100</v>
      </c>
      <c r="I40" s="1759" t="s">
        <v>3624</v>
      </c>
      <c r="J40" s="374">
        <f>SUMIF(120:120,I40,121:121)-SUMIF(120:120,C40,121:121)+100</f>
        <v>100</v>
      </c>
      <c r="K40" s="538"/>
      <c r="L40" s="2492"/>
      <c r="M40" s="2487"/>
      <c r="N40" s="2487"/>
      <c r="O40" s="2542"/>
      <c r="P40" s="3475"/>
      <c r="Q40" s="1262" t="str">
        <f t="shared" si="14"/>
        <v>临街宽度及深度</v>
      </c>
      <c r="R40" s="667" t="s">
        <v>14</v>
      </c>
      <c r="S40" s="668">
        <f t="shared" si="10"/>
        <v>100</v>
      </c>
      <c r="T40" s="667" t="s">
        <v>14</v>
      </c>
      <c r="U40" s="668">
        <f t="shared" si="11"/>
        <v>100</v>
      </c>
      <c r="V40" s="667" t="s">
        <v>14</v>
      </c>
      <c r="W40" s="668">
        <f t="shared" si="12"/>
        <v>100</v>
      </c>
      <c r="X40" s="1264"/>
      <c r="Y40" s="3475"/>
      <c r="Z40" s="1263" t="str">
        <f t="shared" si="13"/>
        <v>临街宽度及深度</v>
      </c>
      <c r="AA40" s="1263">
        <f t="shared" si="3"/>
        <v>1</v>
      </c>
      <c r="AB40" s="1263">
        <f t="shared" si="4"/>
        <v>1</v>
      </c>
      <c r="AC40" s="1263">
        <f t="shared" si="5"/>
        <v>1</v>
      </c>
    </row>
    <row r="41" spans="1:29" s="102" customFormat="1" ht="15">
      <c r="A41" s="410"/>
      <c r="B41" s="364" t="s">
        <v>1876</v>
      </c>
      <c r="C41" s="1827" t="s">
        <v>3625</v>
      </c>
      <c r="D41" s="119">
        <v>100</v>
      </c>
      <c r="E41" s="1827" t="s">
        <v>3625</v>
      </c>
      <c r="F41" s="374">
        <f>SUMIF(122:122,E41,123:123)-SUMIF(122:122,C41,123:123)+100</f>
        <v>100</v>
      </c>
      <c r="G41" s="1827" t="s">
        <v>3625</v>
      </c>
      <c r="H41" s="374">
        <f>SUMIF(122:122,G41,123:123)-SUMIF(122:122,C41,123:123)+100</f>
        <v>100</v>
      </c>
      <c r="I41" s="1827" t="s">
        <v>3625</v>
      </c>
      <c r="J41" s="374">
        <f>SUMIF(122:122,I41,123:123)-SUMIF(122:122,C41,123:123)+100</f>
        <v>100</v>
      </c>
      <c r="K41" s="538"/>
      <c r="L41" s="2488"/>
      <c r="M41" s="2439"/>
      <c r="N41" s="2439"/>
      <c r="O41" s="2540"/>
      <c r="P41" s="3475"/>
      <c r="Q41" s="1262" t="str">
        <f t="shared" si="14"/>
        <v>宗地开发程度</v>
      </c>
      <c r="R41" s="664" t="s">
        <v>14</v>
      </c>
      <c r="S41" s="665">
        <f t="shared" si="10"/>
        <v>100</v>
      </c>
      <c r="T41" s="664" t="s">
        <v>14</v>
      </c>
      <c r="U41" s="665">
        <f t="shared" si="11"/>
        <v>100</v>
      </c>
      <c r="V41" s="664" t="s">
        <v>14</v>
      </c>
      <c r="W41" s="665">
        <f t="shared" si="12"/>
        <v>100</v>
      </c>
      <c r="X41" s="666"/>
      <c r="Y41" s="3475"/>
      <c r="Z41" s="50" t="str">
        <f t="shared" si="13"/>
        <v>宗地开发程度</v>
      </c>
      <c r="AA41" s="50">
        <f t="shared" si="3"/>
        <v>1</v>
      </c>
      <c r="AB41" s="50">
        <f t="shared" si="4"/>
        <v>1</v>
      </c>
      <c r="AC41" s="50">
        <f t="shared" si="5"/>
        <v>1</v>
      </c>
    </row>
    <row r="42" spans="1:29" ht="15.75" thickBot="1">
      <c r="A42" s="409"/>
      <c r="B42" s="364" t="s">
        <v>1877</v>
      </c>
      <c r="C42" s="1759" t="s">
        <v>3587</v>
      </c>
      <c r="D42" s="374">
        <v>100</v>
      </c>
      <c r="E42" s="1759" t="s">
        <v>3587</v>
      </c>
      <c r="F42" s="374">
        <f>SUMIF(124:124,E42,125:125)-SUMIF(124:124,C42,125:125)+100</f>
        <v>100</v>
      </c>
      <c r="G42" s="1759" t="s">
        <v>3587</v>
      </c>
      <c r="H42" s="374">
        <f>SUMIF(124:124,G42,125:125)-SUMIF(124:124,C42,125:125)+100</f>
        <v>100</v>
      </c>
      <c r="I42" s="1759" t="s">
        <v>3587</v>
      </c>
      <c r="J42" s="374">
        <f>SUMIF(124:124,I42,125:125)-SUMIF(124:124,C42,125:125)+100</f>
        <v>100</v>
      </c>
      <c r="K42" s="538"/>
      <c r="L42" s="2492"/>
      <c r="M42" s="2487"/>
      <c r="N42" s="2487"/>
      <c r="O42" s="2542"/>
      <c r="P42" s="3475" t="s">
        <v>1695</v>
      </c>
      <c r="Q42" s="1262" t="str">
        <f t="shared" si="14"/>
        <v>工程地质条件</v>
      </c>
      <c r="R42" s="667" t="s">
        <v>14</v>
      </c>
      <c r="S42" s="668">
        <f t="shared" si="10"/>
        <v>100</v>
      </c>
      <c r="T42" s="667" t="s">
        <v>14</v>
      </c>
      <c r="U42" s="668">
        <f t="shared" si="11"/>
        <v>100</v>
      </c>
      <c r="V42" s="667" t="s">
        <v>14</v>
      </c>
      <c r="W42" s="668">
        <f t="shared" si="12"/>
        <v>100</v>
      </c>
      <c r="X42" s="1264"/>
      <c r="Y42" s="3475" t="s">
        <v>1695</v>
      </c>
      <c r="Z42" s="1263" t="str">
        <f t="shared" si="13"/>
        <v>工程地质条件</v>
      </c>
      <c r="AA42" s="1263">
        <f t="shared" si="3"/>
        <v>1</v>
      </c>
      <c r="AB42" s="1263">
        <f t="shared" si="4"/>
        <v>1</v>
      </c>
      <c r="AC42" s="1263">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75"/>
      <c r="Q43" s="1262">
        <f t="shared" si="14"/>
        <v>111</v>
      </c>
      <c r="R43" s="667" t="s">
        <v>14</v>
      </c>
      <c r="S43" s="668">
        <f t="shared" si="10"/>
        <v>100</v>
      </c>
      <c r="T43" s="667" t="s">
        <v>14</v>
      </c>
      <c r="U43" s="668">
        <f t="shared" si="11"/>
        <v>100</v>
      </c>
      <c r="V43" s="667" t="s">
        <v>14</v>
      </c>
      <c r="W43" s="668">
        <f t="shared" si="12"/>
        <v>100</v>
      </c>
      <c r="X43" s="1264"/>
      <c r="Y43" s="3475"/>
      <c r="Z43" s="1263">
        <f t="shared" si="13"/>
        <v>111</v>
      </c>
      <c r="AA43" s="1263">
        <f t="shared" si="3"/>
        <v>1</v>
      </c>
      <c r="AB43" s="1263">
        <f t="shared" si="4"/>
        <v>1</v>
      </c>
      <c r="AC43" s="1263">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75"/>
      <c r="Q44" s="1262">
        <f t="shared" si="14"/>
        <v>111</v>
      </c>
      <c r="R44" s="667" t="s">
        <v>14</v>
      </c>
      <c r="S44" s="668">
        <f t="shared" si="10"/>
        <v>100</v>
      </c>
      <c r="T44" s="667" t="s">
        <v>14</v>
      </c>
      <c r="U44" s="668">
        <f t="shared" si="11"/>
        <v>100</v>
      </c>
      <c r="V44" s="667" t="s">
        <v>14</v>
      </c>
      <c r="W44" s="668">
        <f t="shared" si="12"/>
        <v>100</v>
      </c>
      <c r="X44" s="1264"/>
      <c r="Y44" s="3475"/>
      <c r="Z44" s="1263">
        <f t="shared" si="13"/>
        <v>111</v>
      </c>
      <c r="AA44" s="1263">
        <f t="shared" si="3"/>
        <v>1</v>
      </c>
      <c r="AB44" s="1263">
        <f t="shared" si="4"/>
        <v>1</v>
      </c>
      <c r="AC44" s="1263">
        <f t="shared" si="5"/>
        <v>1</v>
      </c>
    </row>
    <row r="45" spans="1:29" s="408" customFormat="1" ht="15.75" hidden="1"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75"/>
      <c r="Q45" s="1262">
        <f t="shared" si="14"/>
        <v>111</v>
      </c>
      <c r="R45" s="669" t="s">
        <v>14</v>
      </c>
      <c r="S45" s="670">
        <f t="shared" si="10"/>
        <v>100</v>
      </c>
      <c r="T45" s="669" t="s">
        <v>14</v>
      </c>
      <c r="U45" s="670">
        <f t="shared" si="11"/>
        <v>100</v>
      </c>
      <c r="V45" s="669" t="s">
        <v>14</v>
      </c>
      <c r="W45" s="670">
        <f t="shared" si="12"/>
        <v>100</v>
      </c>
      <c r="X45" s="671"/>
      <c r="Y45" s="3475"/>
      <c r="Z45" s="672">
        <f t="shared" si="13"/>
        <v>111</v>
      </c>
      <c r="AA45" s="1263">
        <f t="shared" si="3"/>
        <v>1</v>
      </c>
      <c r="AB45" s="1263">
        <f t="shared" si="4"/>
        <v>1</v>
      </c>
      <c r="AC45" s="1263">
        <f t="shared" si="5"/>
        <v>1</v>
      </c>
    </row>
    <row r="46" spans="1:29" ht="15">
      <c r="A46" s="416" t="s">
        <v>1843</v>
      </c>
      <c r="B46" s="1829" t="s">
        <v>1878</v>
      </c>
      <c r="C46" s="602" t="s">
        <v>0</v>
      </c>
      <c r="D46" s="418"/>
      <c r="E46" s="419">
        <f>土地案例!P5</f>
        <v>4997</v>
      </c>
      <c r="F46" s="420"/>
      <c r="G46" s="421">
        <f>土地案例!P6</f>
        <v>4984</v>
      </c>
      <c r="H46" s="422"/>
      <c r="I46" s="419">
        <f>土地案例!P11</f>
        <v>5680</v>
      </c>
      <c r="J46" s="422"/>
      <c r="K46" s="674"/>
      <c r="L46" s="2494"/>
      <c r="M46" s="2487"/>
      <c r="N46" s="2487"/>
      <c r="O46" s="2487"/>
      <c r="P46" s="3468" t="str">
        <f>A46</f>
        <v>成交单价</v>
      </c>
      <c r="Q46" s="3468"/>
      <c r="R46" s="3469">
        <f>E46</f>
        <v>4997</v>
      </c>
      <c r="S46" s="3469"/>
      <c r="T46" s="3469">
        <f>G46</f>
        <v>4984</v>
      </c>
      <c r="U46" s="3469"/>
      <c r="V46" s="3469">
        <f>I46</f>
        <v>5680</v>
      </c>
      <c r="W46" s="3469"/>
      <c r="X46" s="385"/>
      <c r="Y46" s="673"/>
      <c r="Z46" s="385"/>
      <c r="AA46" s="385"/>
      <c r="AB46" s="385"/>
      <c r="AC46" s="385"/>
    </row>
    <row r="47" spans="1:29" ht="15.75" thickBot="1">
      <c r="A47" s="423" t="s">
        <v>1792</v>
      </c>
      <c r="B47" s="603"/>
      <c r="C47" s="426">
        <f>R48</f>
        <v>4089</v>
      </c>
      <c r="D47" s="2140" t="s">
        <v>2137</v>
      </c>
      <c r="E47" s="426">
        <f>R47</f>
        <v>3857</v>
      </c>
      <c r="F47" s="2141"/>
      <c r="G47" s="425">
        <f>T47</f>
        <v>3930</v>
      </c>
      <c r="H47" s="2141"/>
      <c r="I47" s="426">
        <f>V47</f>
        <v>4479</v>
      </c>
      <c r="J47" s="2141"/>
      <c r="K47" s="2143">
        <f>F47+H47+J47</f>
        <v>0</v>
      </c>
      <c r="L47" s="2494"/>
      <c r="M47" s="2487"/>
      <c r="N47" s="2487"/>
      <c r="O47" s="2487"/>
      <c r="P47" s="3468" t="str">
        <f>A47</f>
        <v>比较价值（元/平方米）</v>
      </c>
      <c r="Q47" s="3468"/>
      <c r="R47" s="3527">
        <f>ROUND(PRODUCT(R46,AA7:AA45),0)</f>
        <v>3857</v>
      </c>
      <c r="S47" s="3527"/>
      <c r="T47" s="3527">
        <f>ROUND(PRODUCT(T46,AB7:AB45),0)</f>
        <v>3930</v>
      </c>
      <c r="U47" s="3527"/>
      <c r="V47" s="3527">
        <f>ROUND(PRODUCT(V46,AC7:AC45),0)</f>
        <v>4479</v>
      </c>
      <c r="W47" s="3527"/>
      <c r="X47" s="385"/>
      <c r="Y47" s="385"/>
      <c r="Z47" s="385"/>
      <c r="AA47" s="385"/>
      <c r="AB47" s="385"/>
      <c r="AC47" s="385"/>
    </row>
    <row r="48" spans="1:29" ht="15.75" thickBot="1">
      <c r="A48" s="427" t="s">
        <v>1879</v>
      </c>
      <c r="B48" s="428"/>
      <c r="C48" s="429">
        <f>R48</f>
        <v>4089</v>
      </c>
      <c r="D48" s="429"/>
      <c r="E48" s="429"/>
      <c r="F48" s="429"/>
      <c r="G48" s="429"/>
      <c r="H48" s="429"/>
      <c r="I48" s="429"/>
      <c r="J48" s="429"/>
      <c r="K48" s="675"/>
      <c r="L48" s="2494"/>
      <c r="M48" s="2487"/>
      <c r="N48" s="2487"/>
      <c r="O48" s="2487"/>
      <c r="P48" s="3465" t="str">
        <f>A48</f>
        <v>估价对象XX用房的比较价值（楼面单价，元/平方米）</v>
      </c>
      <c r="Q48" s="3466"/>
      <c r="R48" s="3528">
        <f>ROUND(IF(D47="简单平均",AVERAGE(R47:W47),R47*F47+T47*H47+V47*J47),0)</f>
        <v>4089</v>
      </c>
      <c r="S48" s="3528"/>
      <c r="T48" s="3528"/>
      <c r="U48" s="3528"/>
      <c r="V48" s="3528"/>
      <c r="W48" s="352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f>IF(E46&lt;E47,E47/E46-1,E46/E47-1)</f>
        <v>0.29556650246305427</v>
      </c>
      <c r="F51" s="435" t="str">
        <f>IF(OR(E51&gt;=0.3,E51&lt;=-0.3),"超过30%","")</f>
        <v/>
      </c>
      <c r="G51" s="434">
        <f>IF(G46&lt;G47,G47/G46-1,G46/G47-1)</f>
        <v>0.26819338422391859</v>
      </c>
      <c r="H51" s="435" t="str">
        <f>IF(OR(G51&gt;=0.3,G51&lt;=-0.3),"超过30%","")</f>
        <v/>
      </c>
      <c r="I51" s="434">
        <f>IF(I46&lt;I47,I47/I46-1,I46/I47-1)</f>
        <v>0.26814020986827414</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f>IF(E47&lt;G47,G47/E47-1,E47/G47-1)</f>
        <v>1.892662691210778E-2</v>
      </c>
      <c r="F52" s="435" t="str">
        <f>IF(OR(E52&gt;=0.2,E52&lt;=-0.2),"超过20%","")</f>
        <v/>
      </c>
      <c r="G52" s="434">
        <f>IF(G47&lt;I47,I47/G47-1,G47/I47-1)</f>
        <v>0.13969465648854973</v>
      </c>
      <c r="H52" s="435" t="str">
        <f>IF(OR(G52&gt;=0.2,G52&lt;=-0.2),"超过20%","")</f>
        <v/>
      </c>
      <c r="I52" s="434">
        <f>IF(I47&lt;E47,E47/I47-1,I47/E47-1)</f>
        <v>0.16126523204563137</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f>IF(E46&lt;G46,G46/E46-1,E46/G46-1)</f>
        <v>2.6083467094704105E-3</v>
      </c>
      <c r="F53" s="435" t="str">
        <f>IF(OR(E53&gt;=0.3,E53&lt;=-0.3),"超过30%","")</f>
        <v/>
      </c>
      <c r="G53" s="434">
        <f>IF(G46&lt;I46,I46/G46-1,G46/I46-1)</f>
        <v>0.1396468699839486</v>
      </c>
      <c r="H53" s="435" t="str">
        <f>IF(OR(G53&gt;=0.3,G53&lt;=-0.3),"超过30%","")</f>
        <v/>
      </c>
      <c r="I53" s="434">
        <f>IF(I46&lt;E46,E46/I46-1,I46/E46-1)</f>
        <v>0.13668200920552342</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0" t="s">
        <v>1882</v>
      </c>
      <c r="D55" s="1831" t="s">
        <v>1883</v>
      </c>
      <c r="E55" s="606" t="s">
        <v>1884</v>
      </c>
      <c r="F55" s="837" t="s">
        <v>1885</v>
      </c>
      <c r="G55" s="3483" t="s">
        <v>1886</v>
      </c>
      <c r="H55" s="3529"/>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f>C48</f>
        <v>4089</v>
      </c>
      <c r="C56" s="610">
        <v>1</v>
      </c>
      <c r="D56" s="890">
        <v>1</v>
      </c>
      <c r="E56" s="610">
        <f>'数据-汇总表'!E8+'数据-汇总表'!E9</f>
        <v>251875.15999999997</v>
      </c>
      <c r="F56" s="833">
        <f t="shared" ref="F56:F64" si="15">ROUND(B56*E56/10000,0)</f>
        <v>102992</v>
      </c>
      <c r="G56" s="3479"/>
      <c r="H56" s="346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f>ROUND($C$48*C57*D57,0)</f>
        <v>0</v>
      </c>
      <c r="C57" s="163">
        <f t="shared" ref="C57:C64" si="16">IF($C$55="北京市系数",I57,J57)</f>
        <v>0</v>
      </c>
      <c r="D57" s="891">
        <v>0.25</v>
      </c>
      <c r="E57" s="614"/>
      <c r="F57" s="833">
        <f t="shared" si="15"/>
        <v>0</v>
      </c>
      <c r="G57" s="2748" t="s">
        <v>1891</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f t="shared" ref="B58:B64" si="17">ROUND($C$48*C58*D58,0)</f>
        <v>0</v>
      </c>
      <c r="C58" s="163">
        <f t="shared" si="16"/>
        <v>0</v>
      </c>
      <c r="D58" s="891">
        <v>0.25</v>
      </c>
      <c r="E58" s="614"/>
      <c r="F58" s="833">
        <f t="shared" si="15"/>
        <v>0</v>
      </c>
      <c r="G58" s="2749"/>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f t="shared" si="17"/>
        <v>0</v>
      </c>
      <c r="C59" s="163">
        <f t="shared" si="16"/>
        <v>0</v>
      </c>
      <c r="D59" s="891">
        <v>0.25</v>
      </c>
      <c r="E59" s="614"/>
      <c r="F59" s="833">
        <f t="shared" si="15"/>
        <v>0</v>
      </c>
      <c r="G59" s="2749"/>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f t="shared" si="17"/>
        <v>0</v>
      </c>
      <c r="C60" s="163">
        <f t="shared" si="16"/>
        <v>0</v>
      </c>
      <c r="D60" s="891">
        <v>0.25</v>
      </c>
      <c r="E60" s="209">
        <f>'数据-汇总表'!E11</f>
        <v>0</v>
      </c>
      <c r="F60" s="833">
        <f t="shared" si="15"/>
        <v>0</v>
      </c>
      <c r="G60" s="1834" t="s">
        <v>1895</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f t="shared" si="17"/>
        <v>0</v>
      </c>
      <c r="C61" s="163">
        <f t="shared" si="16"/>
        <v>0</v>
      </c>
      <c r="D61" s="891">
        <v>0.25</v>
      </c>
      <c r="E61" s="209">
        <f>'数据-汇总表'!E12</f>
        <v>0</v>
      </c>
      <c r="F61" s="833">
        <f t="shared" si="15"/>
        <v>0</v>
      </c>
      <c r="G61" s="839" t="s">
        <v>1897</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f t="shared" si="17"/>
        <v>0</v>
      </c>
      <c r="C62" s="163">
        <f t="shared" si="16"/>
        <v>0</v>
      </c>
      <c r="D62" s="891">
        <v>0.25</v>
      </c>
      <c r="E62" s="209">
        <f>'数据-汇总表'!E13</f>
        <v>0</v>
      </c>
      <c r="F62" s="833">
        <f t="shared" si="15"/>
        <v>0</v>
      </c>
      <c r="G62" s="839" t="s">
        <v>1899</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f t="shared" si="17"/>
        <v>0</v>
      </c>
      <c r="C63" s="163">
        <f t="shared" si="16"/>
        <v>0</v>
      </c>
      <c r="D63" s="891">
        <v>0.25</v>
      </c>
      <c r="E63" s="209">
        <f>'数据-汇总表'!E14</f>
        <v>0</v>
      </c>
      <c r="F63" s="833">
        <f t="shared" si="15"/>
        <v>0</v>
      </c>
      <c r="G63" s="1834" t="s">
        <v>1891</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1901</v>
      </c>
      <c r="B64" s="210">
        <f t="shared" si="17"/>
        <v>0</v>
      </c>
      <c r="C64" s="163">
        <f t="shared" si="16"/>
        <v>0</v>
      </c>
      <c r="D64" s="891">
        <v>0.25</v>
      </c>
      <c r="E64" s="209">
        <f>'数据-汇总表'!E15</f>
        <v>0</v>
      </c>
      <c r="F64" s="833">
        <f t="shared" si="15"/>
        <v>0</v>
      </c>
      <c r="G64" s="1835" t="s">
        <v>1895</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1902</v>
      </c>
      <c r="B65" s="616" t="s">
        <v>22</v>
      </c>
      <c r="C65" s="616" t="s">
        <v>23</v>
      </c>
      <c r="D65" s="616" t="s">
        <v>392</v>
      </c>
      <c r="E65" s="616">
        <f>IF(B46="楼面地价",SUM(E56:E64),'数据-汇总表'!D3)</f>
        <v>251875.15999999997</v>
      </c>
      <c r="F65" s="617">
        <f>IF(B46="楼面地价",SUM(F56:F64),ROUND(C48*E65/10000,0))</f>
        <v>102992</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6"/>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8（含）-9</v>
      </c>
      <c r="L78" s="478" t="str">
        <f t="shared" si="21"/>
        <v>9（含）-10</v>
      </c>
      <c r="M78" s="387" t="str">
        <f>M79&amp;"（含）"&amp;"-"&amp;P79</f>
        <v>10（含）-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v>4</v>
      </c>
      <c r="H79" s="480">
        <v>5</v>
      </c>
      <c r="I79" s="480">
        <v>6</v>
      </c>
      <c r="J79" s="480">
        <v>7</v>
      </c>
      <c r="K79" s="480">
        <v>8</v>
      </c>
      <c r="L79" s="480">
        <v>9</v>
      </c>
      <c r="M79" s="480">
        <v>10</v>
      </c>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95</v>
      </c>
      <c r="E90" s="475">
        <f>D90-$K17</f>
        <v>90</v>
      </c>
      <c r="F90" s="475">
        <f>E90-$K17</f>
        <v>85</v>
      </c>
      <c r="G90" s="475">
        <f>F90-$K17</f>
        <v>80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95</v>
      </c>
      <c r="E94" s="475">
        <f>D94-$K21</f>
        <v>90</v>
      </c>
      <c r="F94" s="475">
        <f>E94-$K21</f>
        <v>85</v>
      </c>
      <c r="G94" s="475">
        <f>F94-$K21</f>
        <v>80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97</v>
      </c>
      <c r="E96" s="475">
        <f>D96-$K23</f>
        <v>94</v>
      </c>
      <c r="F96" s="475">
        <f>E96-$K23</f>
        <v>91</v>
      </c>
      <c r="G96" s="475">
        <f>F96-$K23</f>
        <v>88</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1693</v>
      </c>
      <c r="B115" s="460" t="s">
        <v>1912</v>
      </c>
      <c r="C115" s="461" t="str">
        <f>C116&amp;"(含)"&amp;"-"&amp;D116</f>
        <v>0(含)-20000</v>
      </c>
      <c r="D115" s="461" t="str">
        <f t="shared" ref="D115:M115" si="26">D116&amp;"(含)"&amp;"-"&amp;E116</f>
        <v>20000(含)-40000</v>
      </c>
      <c r="E115" s="461" t="str">
        <f t="shared" si="26"/>
        <v>40000(含)-60000</v>
      </c>
      <c r="F115" s="461" t="str">
        <f t="shared" si="26"/>
        <v>60000(含)-80000</v>
      </c>
      <c r="G115" s="461" t="str">
        <f t="shared" si="26"/>
        <v>80000(含)-100000</v>
      </c>
      <c r="H115" s="461" t="str">
        <f t="shared" si="26"/>
        <v>100000(含)-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20000</v>
      </c>
      <c r="E116" s="6">
        <v>40000</v>
      </c>
      <c r="F116" s="6">
        <v>60000</v>
      </c>
      <c r="G116" s="6">
        <v>80000</v>
      </c>
      <c r="H116" s="6">
        <v>100000</v>
      </c>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96</v>
      </c>
      <c r="D117" s="521">
        <v>98</v>
      </c>
      <c r="E117" s="501">
        <v>100</v>
      </c>
      <c r="F117" s="501">
        <v>98</v>
      </c>
      <c r="G117" s="501">
        <v>96</v>
      </c>
      <c r="H117" s="501">
        <v>94</v>
      </c>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3165" t="s">
        <v>3569</v>
      </c>
      <c r="D118" s="3165" t="s">
        <v>3570</v>
      </c>
      <c r="E118" s="3165" t="s">
        <v>3571</v>
      </c>
      <c r="F118" s="3165" t="s">
        <v>3572</v>
      </c>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3166" t="s">
        <v>3573</v>
      </c>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3167" t="s">
        <v>3574</v>
      </c>
      <c r="D122" s="3167" t="s">
        <v>3575</v>
      </c>
      <c r="E122" s="3167" t="s">
        <v>3576</v>
      </c>
      <c r="F122" s="3167" t="s">
        <v>3577</v>
      </c>
      <c r="G122" s="3167" t="s">
        <v>3578</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3166" t="s">
        <v>3579</v>
      </c>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93" t="s">
        <v>1770</v>
      </c>
      <c r="S4" s="3494"/>
      <c r="T4" s="3493" t="s">
        <v>1771</v>
      </c>
      <c r="U4" s="3494"/>
      <c r="V4" s="3469" t="s">
        <v>1772</v>
      </c>
      <c r="W4" s="3469"/>
      <c r="X4" s="1264"/>
      <c r="Y4" s="3493" t="s">
        <v>1774</v>
      </c>
      <c r="Z4" s="3494"/>
      <c r="AA4" s="3480" t="s">
        <v>1770</v>
      </c>
      <c r="AB4" s="3481" t="s">
        <v>1771</v>
      </c>
      <c r="AC4" s="3480" t="s">
        <v>1772</v>
      </c>
    </row>
    <row r="5" spans="1:29" ht="15">
      <c r="A5" s="348"/>
      <c r="B5" s="349"/>
      <c r="C5" s="3501" t="s">
        <v>1672</v>
      </c>
      <c r="D5" s="3502"/>
      <c r="E5" s="3508" t="s">
        <v>1673</v>
      </c>
      <c r="F5" s="3509"/>
      <c r="G5" s="3501" t="s">
        <v>1674</v>
      </c>
      <c r="H5" s="3502"/>
      <c r="I5" s="3501" t="s">
        <v>1675</v>
      </c>
      <c r="J5" s="3502"/>
      <c r="K5" s="537"/>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530" t="s">
        <v>1918</v>
      </c>
      <c r="D6" s="3531"/>
      <c r="E6" s="3532" t="s">
        <v>1918</v>
      </c>
      <c r="F6" s="3533"/>
      <c r="G6" s="3530" t="s">
        <v>1918</v>
      </c>
      <c r="H6" s="3531"/>
      <c r="I6" s="3530" t="s">
        <v>1918</v>
      </c>
      <c r="J6" s="3531"/>
      <c r="K6" s="537" t="s">
        <v>1677</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1678</v>
      </c>
      <c r="B7" s="353"/>
      <c r="C7" s="354">
        <f>'数据-取费表'!B2</f>
        <v>45792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503" t="s">
        <v>1679</v>
      </c>
      <c r="Q7" s="3505"/>
      <c r="R7" s="664" t="s">
        <v>14</v>
      </c>
      <c r="S7" s="665">
        <f t="shared" ref="S7:S15" si="0">F7</f>
        <v>0</v>
      </c>
      <c r="T7" s="664" t="s">
        <v>14</v>
      </c>
      <c r="U7" s="665">
        <f t="shared" ref="U7:U15" si="1">H7</f>
        <v>0</v>
      </c>
      <c r="V7" s="664" t="s">
        <v>14</v>
      </c>
      <c r="W7" s="665">
        <f t="shared" ref="W7:W15" si="2">J7</f>
        <v>0</v>
      </c>
      <c r="X7" s="666"/>
      <c r="Y7" s="3503" t="s">
        <v>1679</v>
      </c>
      <c r="Z7" s="3504"/>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03" t="s">
        <v>1682</v>
      </c>
      <c r="Q8" s="3504"/>
      <c r="R8" s="664" t="s">
        <v>14</v>
      </c>
      <c r="S8" s="665">
        <f t="shared" si="0"/>
        <v>0</v>
      </c>
      <c r="T8" s="664" t="s">
        <v>14</v>
      </c>
      <c r="U8" s="665">
        <f t="shared" si="1"/>
        <v>0</v>
      </c>
      <c r="V8" s="664" t="s">
        <v>14</v>
      </c>
      <c r="W8" s="665">
        <f t="shared" si="2"/>
        <v>0</v>
      </c>
      <c r="X8" s="666"/>
      <c r="Y8" s="3503" t="s">
        <v>1682</v>
      </c>
      <c r="Z8" s="3504"/>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68" t="s">
        <v>1685</v>
      </c>
      <c r="Q9" s="530" t="str">
        <f t="shared" ref="Q9:Q15" si="6">B9</f>
        <v>用途</v>
      </c>
      <c r="R9" s="664" t="s">
        <v>14</v>
      </c>
      <c r="S9" s="665">
        <f t="shared" si="0"/>
        <v>100</v>
      </c>
      <c r="T9" s="664" t="s">
        <v>14</v>
      </c>
      <c r="U9" s="665">
        <f t="shared" si="1"/>
        <v>100</v>
      </c>
      <c r="V9" s="664" t="s">
        <v>14</v>
      </c>
      <c r="W9" s="665">
        <f t="shared" si="2"/>
        <v>100</v>
      </c>
      <c r="X9" s="666"/>
      <c r="Y9" s="334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119</v>
      </c>
      <c r="G10" s="371"/>
      <c r="H10" s="119">
        <f>ROUND(100/'数据-取费表'!G16,0)</f>
        <v>119</v>
      </c>
      <c r="I10" s="371"/>
      <c r="J10" s="119">
        <f>ROUND(100/'数据-取费表'!G16,0)</f>
        <v>119</v>
      </c>
      <c r="K10" s="592"/>
      <c r="L10" s="2489"/>
      <c r="M10" s="2490"/>
      <c r="N10" s="2490"/>
      <c r="O10" s="2541"/>
      <c r="P10" s="3468"/>
      <c r="Q10" s="530" t="str">
        <f t="shared" si="6"/>
        <v>土地使用年限（年）</v>
      </c>
      <c r="R10" s="664" t="s">
        <v>14</v>
      </c>
      <c r="S10" s="665">
        <f t="shared" si="0"/>
        <v>119</v>
      </c>
      <c r="T10" s="664" t="s">
        <v>14</v>
      </c>
      <c r="U10" s="665">
        <f t="shared" si="1"/>
        <v>119</v>
      </c>
      <c r="V10" s="664" t="s">
        <v>14</v>
      </c>
      <c r="W10" s="665">
        <f t="shared" si="2"/>
        <v>119</v>
      </c>
      <c r="X10" s="666"/>
      <c r="Y10" s="3343"/>
      <c r="Z10" s="50" t="str">
        <f t="shared" si="7"/>
        <v>土地使用年限（年）</v>
      </c>
      <c r="AA10" s="50">
        <f t="shared" si="3"/>
        <v>0.84033613445378152</v>
      </c>
      <c r="AB10" s="50">
        <f t="shared" si="4"/>
        <v>0.84033613445378152</v>
      </c>
      <c r="AC10" s="50">
        <f t="shared" si="5"/>
        <v>0.84033613445378152</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68"/>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68"/>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68"/>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15">
      <c r="A15" s="379" t="s">
        <v>1689</v>
      </c>
      <c r="B15" s="554" t="s">
        <v>1919</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70" t="s">
        <v>1690</v>
      </c>
      <c r="Q15" s="1262" t="str">
        <f t="shared" si="6"/>
        <v>产业集聚程度</v>
      </c>
      <c r="R15" s="667" t="s">
        <v>14</v>
      </c>
      <c r="S15" s="668">
        <f t="shared" si="0"/>
        <v>100</v>
      </c>
      <c r="T15" s="667" t="s">
        <v>14</v>
      </c>
      <c r="U15" s="668">
        <f t="shared" si="1"/>
        <v>100</v>
      </c>
      <c r="V15" s="667" t="s">
        <v>14</v>
      </c>
      <c r="W15" s="668">
        <f t="shared" si="2"/>
        <v>100</v>
      </c>
      <c r="X15" s="1264"/>
      <c r="Y15" s="3470" t="s">
        <v>1690</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71"/>
      <c r="Q16" s="1262"/>
      <c r="R16" s="667"/>
      <c r="S16" s="668"/>
      <c r="T16" s="667"/>
      <c r="U16" s="668"/>
      <c r="V16" s="667"/>
      <c r="W16" s="668"/>
      <c r="X16" s="1264"/>
      <c r="Y16" s="3471"/>
      <c r="Z16" s="1263"/>
      <c r="AA16" s="1263">
        <v>1</v>
      </c>
      <c r="AB16" s="1263">
        <v>1</v>
      </c>
      <c r="AC16" s="1263">
        <v>1</v>
      </c>
    </row>
    <row r="17" spans="1:29" ht="15">
      <c r="A17" s="367"/>
      <c r="B17" s="556" t="s">
        <v>1832</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71"/>
      <c r="Q17" s="1262" t="str">
        <f>B17</f>
        <v>交通便捷度</v>
      </c>
      <c r="R17" s="667" t="s">
        <v>14</v>
      </c>
      <c r="S17" s="668">
        <f>F17</f>
        <v>100</v>
      </c>
      <c r="T17" s="667" t="s">
        <v>14</v>
      </c>
      <c r="U17" s="668">
        <f>H17</f>
        <v>100</v>
      </c>
      <c r="V17" s="667" t="s">
        <v>14</v>
      </c>
      <c r="W17" s="668">
        <f>J17</f>
        <v>100</v>
      </c>
      <c r="X17" s="1264"/>
      <c r="Y17" s="347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71"/>
      <c r="Q18" s="1262"/>
      <c r="R18" s="667"/>
      <c r="S18" s="668"/>
      <c r="T18" s="667"/>
      <c r="U18" s="668"/>
      <c r="V18" s="667"/>
      <c r="W18" s="668"/>
      <c r="X18" s="1264"/>
      <c r="Y18" s="3471"/>
      <c r="Z18" s="1263"/>
      <c r="AA18" s="1263">
        <v>1</v>
      </c>
      <c r="AB18" s="1263">
        <v>1</v>
      </c>
      <c r="AC18" s="1263">
        <v>1</v>
      </c>
    </row>
    <row r="19" spans="1:29" ht="15">
      <c r="A19" s="367"/>
      <c r="B19" s="556"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71"/>
      <c r="Q19" s="1262" t="str">
        <f t="shared" ref="Q19:Q33" si="8">B19</f>
        <v>区域土地利用方向</v>
      </c>
      <c r="R19" s="667" t="s">
        <v>14</v>
      </c>
      <c r="S19" s="668">
        <f>F19</f>
        <v>100</v>
      </c>
      <c r="T19" s="667" t="s">
        <v>14</v>
      </c>
      <c r="U19" s="668">
        <f>H19</f>
        <v>100</v>
      </c>
      <c r="V19" s="667" t="s">
        <v>14</v>
      </c>
      <c r="W19" s="668">
        <f>J19</f>
        <v>100</v>
      </c>
      <c r="X19" s="1264"/>
      <c r="Y19" s="347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71"/>
      <c r="Q20" s="1262"/>
      <c r="R20" s="667"/>
      <c r="S20" s="668"/>
      <c r="T20" s="667"/>
      <c r="U20" s="668"/>
      <c r="V20" s="667"/>
      <c r="W20" s="668"/>
      <c r="X20" s="1264"/>
      <c r="Y20" s="3471"/>
      <c r="Z20" s="1263"/>
      <c r="AA20" s="1263"/>
      <c r="AB20" s="1263"/>
      <c r="AC20" s="1263"/>
    </row>
    <row r="21" spans="1:29" ht="15">
      <c r="A21" s="348"/>
      <c r="B21" s="556" t="s">
        <v>1920</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71"/>
      <c r="Q21" s="1262" t="str">
        <f t="shared" si="8"/>
        <v>环境状况</v>
      </c>
      <c r="R21" s="667" t="s">
        <v>14</v>
      </c>
      <c r="S21" s="668">
        <f>F21</f>
        <v>100</v>
      </c>
      <c r="T21" s="667" t="s">
        <v>14</v>
      </c>
      <c r="U21" s="668">
        <f>H21</f>
        <v>100</v>
      </c>
      <c r="V21" s="667" t="s">
        <v>14</v>
      </c>
      <c r="W21" s="668">
        <f>J21</f>
        <v>100</v>
      </c>
      <c r="X21" s="1264"/>
      <c r="Y21" s="347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71"/>
      <c r="Q22" s="1262"/>
      <c r="R22" s="667"/>
      <c r="S22" s="668"/>
      <c r="T22" s="667"/>
      <c r="U22" s="668"/>
      <c r="V22" s="667"/>
      <c r="W22" s="668"/>
      <c r="X22" s="1264"/>
      <c r="Y22" s="3471"/>
      <c r="Z22" s="1263"/>
      <c r="AA22" s="1263">
        <v>1</v>
      </c>
      <c r="AB22" s="1263">
        <v>1</v>
      </c>
      <c r="AC22" s="1263">
        <v>1</v>
      </c>
    </row>
    <row r="23" spans="1:29" s="102" customFormat="1" ht="15">
      <c r="A23" s="443"/>
      <c r="B23" s="557" t="s">
        <v>1777</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71"/>
      <c r="Q23" s="530" t="str">
        <f t="shared" si="8"/>
        <v>公共配套设施</v>
      </c>
      <c r="R23" s="664" t="s">
        <v>14</v>
      </c>
      <c r="S23" s="665">
        <f>F23</f>
        <v>100</v>
      </c>
      <c r="T23" s="664" t="s">
        <v>14</v>
      </c>
      <c r="U23" s="665">
        <f>H23</f>
        <v>100</v>
      </c>
      <c r="V23" s="664" t="s">
        <v>14</v>
      </c>
      <c r="W23" s="665">
        <f>J23</f>
        <v>100</v>
      </c>
      <c r="X23" s="666"/>
      <c r="Y23" s="347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71"/>
      <c r="Q24" s="530"/>
      <c r="R24" s="664"/>
      <c r="S24" s="665"/>
      <c r="T24" s="664"/>
      <c r="U24" s="665"/>
      <c r="V24" s="664"/>
      <c r="W24" s="665"/>
      <c r="X24" s="666"/>
      <c r="Y24" s="3471"/>
      <c r="Z24" s="50"/>
      <c r="AA24" s="50">
        <v>1</v>
      </c>
      <c r="AB24" s="50">
        <v>1</v>
      </c>
      <c r="AC24" s="50">
        <v>1</v>
      </c>
    </row>
    <row r="25" spans="1:29" s="102" customFormat="1" ht="15">
      <c r="A25" s="443"/>
      <c r="B25" s="557" t="s">
        <v>1778</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71"/>
      <c r="Q25" s="530" t="str">
        <f t="shared" ref="Q25" si="9">B25</f>
        <v>基础设施水平</v>
      </c>
      <c r="R25" s="664" t="s">
        <v>14</v>
      </c>
      <c r="S25" s="665">
        <f>F25</f>
        <v>100</v>
      </c>
      <c r="T25" s="664" t="s">
        <v>14</v>
      </c>
      <c r="U25" s="665">
        <f>H25</f>
        <v>100</v>
      </c>
      <c r="V25" s="664" t="s">
        <v>14</v>
      </c>
      <c r="W25" s="665">
        <f>J25</f>
        <v>100</v>
      </c>
      <c r="X25" s="666"/>
      <c r="Y25" s="347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71"/>
      <c r="Q26" s="530"/>
      <c r="R26" s="664"/>
      <c r="S26" s="665"/>
      <c r="T26" s="664"/>
      <c r="U26" s="665"/>
      <c r="V26" s="664"/>
      <c r="W26" s="665"/>
      <c r="X26" s="666"/>
      <c r="Y26" s="3471"/>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7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71"/>
      <c r="Z27" s="1263" t="str">
        <f t="shared" ref="Z27:Z40" si="13">Q27</f>
        <v>临街状况</v>
      </c>
      <c r="AA27" s="1263">
        <f t="shared" si="3"/>
        <v>1</v>
      </c>
      <c r="AB27" s="1263">
        <f t="shared" si="4"/>
        <v>1</v>
      </c>
      <c r="AC27" s="1263">
        <f t="shared" si="5"/>
        <v>1</v>
      </c>
    </row>
    <row r="28" spans="1:29" ht="27">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71"/>
      <c r="Q28" s="1262" t="str">
        <f t="shared" si="8"/>
        <v>毗邻道路的类型与等级</v>
      </c>
      <c r="R28" s="667" t="s">
        <v>14</v>
      </c>
      <c r="S28" s="668">
        <f t="shared" si="10"/>
        <v>100</v>
      </c>
      <c r="T28" s="667" t="s">
        <v>14</v>
      </c>
      <c r="U28" s="668">
        <f t="shared" si="11"/>
        <v>100</v>
      </c>
      <c r="V28" s="667" t="s">
        <v>14</v>
      </c>
      <c r="W28" s="668">
        <f t="shared" si="12"/>
        <v>100</v>
      </c>
      <c r="X28" s="1264"/>
      <c r="Y28" s="347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71"/>
      <c r="Q29" s="1262"/>
      <c r="R29" s="667"/>
      <c r="S29" s="668"/>
      <c r="T29" s="667"/>
      <c r="U29" s="668"/>
      <c r="V29" s="667"/>
      <c r="W29" s="668"/>
      <c r="X29" s="1264"/>
      <c r="Y29" s="3471"/>
      <c r="Z29" s="1263"/>
      <c r="AA29" s="1263">
        <v>1</v>
      </c>
      <c r="AB29" s="1263">
        <v>1</v>
      </c>
      <c r="AC29" s="1263">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71"/>
      <c r="Q30" s="1262" t="str">
        <f t="shared" si="8"/>
        <v>土地级别</v>
      </c>
      <c r="R30" s="667" t="s">
        <v>14</v>
      </c>
      <c r="S30" s="668">
        <f t="shared" si="10"/>
        <v>100</v>
      </c>
      <c r="T30" s="667" t="s">
        <v>14</v>
      </c>
      <c r="U30" s="668">
        <f t="shared" si="11"/>
        <v>100</v>
      </c>
      <c r="V30" s="667" t="s">
        <v>14</v>
      </c>
      <c r="W30" s="668">
        <f t="shared" si="12"/>
        <v>100</v>
      </c>
      <c r="X30" s="1264"/>
      <c r="Y30" s="3471"/>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71"/>
      <c r="Q31" s="1262">
        <f t="shared" si="8"/>
        <v>111</v>
      </c>
      <c r="R31" s="667" t="s">
        <v>14</v>
      </c>
      <c r="S31" s="668">
        <f t="shared" si="10"/>
        <v>100</v>
      </c>
      <c r="T31" s="667" t="s">
        <v>14</v>
      </c>
      <c r="U31" s="668">
        <f t="shared" si="11"/>
        <v>100</v>
      </c>
      <c r="V31" s="667" t="s">
        <v>14</v>
      </c>
      <c r="W31" s="668">
        <f t="shared" si="12"/>
        <v>100</v>
      </c>
      <c r="X31" s="1264"/>
      <c r="Y31" s="347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25" t="s">
        <v>1695</v>
      </c>
      <c r="Q32" s="1262">
        <f t="shared" si="8"/>
        <v>111</v>
      </c>
      <c r="R32" s="667" t="s">
        <v>14</v>
      </c>
      <c r="S32" s="668">
        <f t="shared" si="10"/>
        <v>100</v>
      </c>
      <c r="T32" s="667" t="s">
        <v>14</v>
      </c>
      <c r="U32" s="668">
        <f t="shared" si="11"/>
        <v>100</v>
      </c>
      <c r="V32" s="667" t="s">
        <v>14</v>
      </c>
      <c r="W32" s="668">
        <f t="shared" si="12"/>
        <v>100</v>
      </c>
      <c r="X32" s="1264"/>
      <c r="Y32" s="3475" t="s">
        <v>1695</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75"/>
      <c r="Q33" s="1262">
        <f t="shared" si="8"/>
        <v>111</v>
      </c>
      <c r="R33" s="669" t="s">
        <v>14</v>
      </c>
      <c r="S33" s="670">
        <f t="shared" si="10"/>
        <v>100</v>
      </c>
      <c r="T33" s="669" t="s">
        <v>14</v>
      </c>
      <c r="U33" s="670">
        <f t="shared" si="11"/>
        <v>100</v>
      </c>
      <c r="V33" s="669" t="s">
        <v>14</v>
      </c>
      <c r="W33" s="670">
        <f t="shared" si="12"/>
        <v>100</v>
      </c>
      <c r="X33" s="671"/>
      <c r="Y33" s="3475"/>
      <c r="Z33" s="672">
        <f t="shared" si="13"/>
        <v>111</v>
      </c>
      <c r="AA33" s="1263">
        <f t="shared" si="3"/>
        <v>1</v>
      </c>
      <c r="AB33" s="1263">
        <f t="shared" si="4"/>
        <v>1</v>
      </c>
      <c r="AC33" s="1263">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75"/>
      <c r="Q34" s="1262" t="str">
        <f>B34</f>
        <v>宗地面积</v>
      </c>
      <c r="R34" s="667" t="s">
        <v>14</v>
      </c>
      <c r="S34" s="668" t="e">
        <f t="shared" si="10"/>
        <v>#N/A</v>
      </c>
      <c r="T34" s="667" t="s">
        <v>14</v>
      </c>
      <c r="U34" s="668" t="e">
        <f t="shared" si="11"/>
        <v>#N/A</v>
      </c>
      <c r="V34" s="667" t="s">
        <v>14</v>
      </c>
      <c r="W34" s="668" t="e">
        <f t="shared" si="12"/>
        <v>#N/A</v>
      </c>
      <c r="X34" s="1264"/>
      <c r="Y34" s="3475"/>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75"/>
      <c r="Q35" s="1262" t="str">
        <f t="shared" ref="Q35:Q40" si="14">B35</f>
        <v>宗地形状</v>
      </c>
      <c r="R35" s="667" t="s">
        <v>14</v>
      </c>
      <c r="S35" s="668">
        <f t="shared" si="10"/>
        <v>100</v>
      </c>
      <c r="T35" s="667" t="s">
        <v>14</v>
      </c>
      <c r="U35" s="668">
        <f t="shared" si="11"/>
        <v>100</v>
      </c>
      <c r="V35" s="667" t="s">
        <v>14</v>
      </c>
      <c r="W35" s="668">
        <f t="shared" si="12"/>
        <v>100</v>
      </c>
      <c r="X35" s="1264"/>
      <c r="Y35" s="3475"/>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75"/>
      <c r="Q36" s="1262" t="str">
        <f t="shared" si="14"/>
        <v>宗地开发程度</v>
      </c>
      <c r="R36" s="664" t="s">
        <v>14</v>
      </c>
      <c r="S36" s="665">
        <f t="shared" si="10"/>
        <v>100</v>
      </c>
      <c r="T36" s="664" t="s">
        <v>14</v>
      </c>
      <c r="U36" s="665">
        <f t="shared" si="11"/>
        <v>100</v>
      </c>
      <c r="V36" s="664" t="s">
        <v>14</v>
      </c>
      <c r="W36" s="665">
        <f t="shared" si="12"/>
        <v>100</v>
      </c>
      <c r="X36" s="666"/>
      <c r="Y36" s="3475"/>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75" t="s">
        <v>1695</v>
      </c>
      <c r="Q37" s="1262" t="str">
        <f t="shared" si="14"/>
        <v>工程地质条件</v>
      </c>
      <c r="R37" s="667" t="s">
        <v>14</v>
      </c>
      <c r="S37" s="668">
        <f t="shared" si="10"/>
        <v>100</v>
      </c>
      <c r="T37" s="667" t="s">
        <v>14</v>
      </c>
      <c r="U37" s="668">
        <f t="shared" si="11"/>
        <v>100</v>
      </c>
      <c r="V37" s="667" t="s">
        <v>14</v>
      </c>
      <c r="W37" s="668">
        <f t="shared" si="12"/>
        <v>100</v>
      </c>
      <c r="X37" s="1264"/>
      <c r="Y37" s="3475" t="s">
        <v>1695</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75"/>
      <c r="Q38" s="1262">
        <f t="shared" si="14"/>
        <v>111</v>
      </c>
      <c r="R38" s="667" t="s">
        <v>14</v>
      </c>
      <c r="S38" s="668">
        <f t="shared" si="10"/>
        <v>100</v>
      </c>
      <c r="T38" s="667" t="s">
        <v>14</v>
      </c>
      <c r="U38" s="668">
        <f t="shared" si="11"/>
        <v>100</v>
      </c>
      <c r="V38" s="667" t="s">
        <v>14</v>
      </c>
      <c r="W38" s="668">
        <f t="shared" si="12"/>
        <v>100</v>
      </c>
      <c r="X38" s="1264"/>
      <c r="Y38" s="3475"/>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75"/>
      <c r="Q39" s="1262">
        <f t="shared" si="14"/>
        <v>111</v>
      </c>
      <c r="R39" s="667" t="s">
        <v>14</v>
      </c>
      <c r="S39" s="668">
        <f t="shared" si="10"/>
        <v>100</v>
      </c>
      <c r="T39" s="667" t="s">
        <v>14</v>
      </c>
      <c r="U39" s="668">
        <f t="shared" si="11"/>
        <v>100</v>
      </c>
      <c r="V39" s="667" t="s">
        <v>14</v>
      </c>
      <c r="W39" s="668">
        <f t="shared" si="12"/>
        <v>100</v>
      </c>
      <c r="X39" s="1264"/>
      <c r="Y39" s="3475"/>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75"/>
      <c r="Q40" s="1262">
        <f t="shared" si="14"/>
        <v>111</v>
      </c>
      <c r="R40" s="669" t="s">
        <v>14</v>
      </c>
      <c r="S40" s="670">
        <f t="shared" si="10"/>
        <v>100</v>
      </c>
      <c r="T40" s="669" t="s">
        <v>14</v>
      </c>
      <c r="U40" s="670">
        <f t="shared" si="11"/>
        <v>100</v>
      </c>
      <c r="V40" s="669" t="s">
        <v>14</v>
      </c>
      <c r="W40" s="670">
        <f t="shared" si="12"/>
        <v>100</v>
      </c>
      <c r="X40" s="671"/>
      <c r="Y40" s="3475"/>
      <c r="Z40" s="672">
        <f t="shared" si="13"/>
        <v>111</v>
      </c>
      <c r="AA40" s="1263">
        <f t="shared" si="3"/>
        <v>1</v>
      </c>
      <c r="AB40" s="1263">
        <f t="shared" si="4"/>
        <v>1</v>
      </c>
      <c r="AC40" s="1263">
        <f t="shared" si="5"/>
        <v>1</v>
      </c>
    </row>
    <row r="41" spans="1:31" ht="15">
      <c r="A41" s="416" t="s">
        <v>1843</v>
      </c>
      <c r="B41" s="1829" t="s">
        <v>1921</v>
      </c>
      <c r="C41" s="602" t="s">
        <v>0</v>
      </c>
      <c r="D41" s="418"/>
      <c r="E41" s="419"/>
      <c r="F41" s="420"/>
      <c r="G41" s="421"/>
      <c r="H41" s="422"/>
      <c r="I41" s="419"/>
      <c r="J41" s="422"/>
      <c r="K41" s="674"/>
      <c r="L41" s="2494"/>
      <c r="M41" s="2487"/>
      <c r="N41" s="2487"/>
      <c r="O41" s="2487"/>
      <c r="P41" s="3468" t="str">
        <f>A41</f>
        <v>成交单价</v>
      </c>
      <c r="Q41" s="3468"/>
      <c r="R41" s="3469">
        <f>E41</f>
        <v>0</v>
      </c>
      <c r="S41" s="3469"/>
      <c r="T41" s="3469">
        <f>G41</f>
        <v>0</v>
      </c>
      <c r="U41" s="3469"/>
      <c r="V41" s="3469">
        <f>I41</f>
        <v>0</v>
      </c>
      <c r="W41" s="3469"/>
      <c r="X41" s="385"/>
      <c r="Y41" s="673"/>
      <c r="Z41" s="385"/>
      <c r="AA41" s="385"/>
      <c r="AB41" s="385"/>
      <c r="AC41" s="385"/>
    </row>
    <row r="42" spans="1:31" ht="15.75" thickBot="1">
      <c r="A42" s="423" t="s">
        <v>1792</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468" t="str">
        <f>A42</f>
        <v>比较价值（元/平方米）</v>
      </c>
      <c r="Q42" s="3468"/>
      <c r="R42" s="3527" t="e">
        <f>ROUND(PRODUCT(R41,AA7:AA40),0)</f>
        <v>#DIV/0!</v>
      </c>
      <c r="S42" s="3527"/>
      <c r="T42" s="3527" t="e">
        <f>ROUND(PRODUCT(T41,AB7:AB40),0)</f>
        <v>#DIV/0!</v>
      </c>
      <c r="U42" s="3527"/>
      <c r="V42" s="3527" t="e">
        <f>ROUND(PRODUCT(V41,AC7:AC40),0)</f>
        <v>#DIV/0!</v>
      </c>
      <c r="W42" s="3527"/>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94"/>
      <c r="M43" s="2487"/>
      <c r="N43" s="2487"/>
      <c r="O43" s="2487"/>
      <c r="P43" s="3465" t="str">
        <f>A43</f>
        <v>估价对象XX用房的比较价值（楼面单价，元/平方米）</v>
      </c>
      <c r="Q43" s="3466"/>
      <c r="R43" s="3528" t="e">
        <f>ROUND(IF(D42="简单平均",AVERAGE(R42:W42),R42*F42+T42*H42+V42*J42),0)</f>
        <v>#DIV/0!</v>
      </c>
      <c r="S43" s="3528"/>
      <c r="T43" s="3528"/>
      <c r="U43" s="3528"/>
      <c r="V43" s="3528"/>
      <c r="W43" s="352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1880</v>
      </c>
      <c r="B50" s="605" t="s">
        <v>1881</v>
      </c>
      <c r="C50" s="1830" t="s">
        <v>1882</v>
      </c>
      <c r="D50" s="1831" t="s">
        <v>1883</v>
      </c>
      <c r="E50" s="606" t="s">
        <v>1884</v>
      </c>
      <c r="F50" s="607" t="s">
        <v>1885</v>
      </c>
      <c r="G50" s="3483" t="s">
        <v>1886</v>
      </c>
      <c r="H50" s="3529"/>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251875.15999999997</v>
      </c>
      <c r="F51" s="611" t="e">
        <f t="shared" ref="F51:F60" si="15">ROUND(B51*E51/10000,0)</f>
        <v>#DIV/0!</v>
      </c>
      <c r="G51" s="3479"/>
      <c r="H51" s="346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48" t="s">
        <v>1891</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49"/>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0"/>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4" t="s">
        <v>1895</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4" t="s">
        <v>1891</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1901</v>
      </c>
      <c r="B60" s="210" t="e">
        <f t="shared" si="17"/>
        <v>#DIV/0!</v>
      </c>
      <c r="C60" s="163">
        <f t="shared" si="16"/>
        <v>0</v>
      </c>
      <c r="D60" s="891">
        <v>0.25</v>
      </c>
      <c r="E60" s="209">
        <f>'数据-汇总表'!E15</f>
        <v>0</v>
      </c>
      <c r="F60" s="611" t="e">
        <f t="shared" si="15"/>
        <v>#DIV/0!</v>
      </c>
      <c r="G60" s="1835" t="s">
        <v>1895</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1902</v>
      </c>
      <c r="B61" s="616" t="s">
        <v>22</v>
      </c>
      <c r="C61" s="616" t="s">
        <v>23</v>
      </c>
      <c r="D61" s="616" t="s">
        <v>392</v>
      </c>
      <c r="E61" s="616">
        <f>IF(B41="楼面地价",SUM(E51:E60),'数据-汇总表'!D3)</f>
        <v>217068.78</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6"/>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537" t="s">
        <v>2083</v>
      </c>
      <c r="D1" s="3538"/>
      <c r="E1" s="3538"/>
      <c r="F1" s="3538"/>
      <c r="G1" s="3538"/>
      <c r="H1" s="3538"/>
      <c r="I1" s="3538"/>
      <c r="J1" s="3538"/>
      <c r="K1" s="3538"/>
      <c r="L1" s="3538"/>
      <c r="M1" s="3538"/>
      <c r="N1" s="3538"/>
      <c r="O1" s="3538"/>
      <c r="P1" s="3538"/>
      <c r="Q1" s="3538"/>
      <c r="R1" s="3538"/>
      <c r="S1" s="3539"/>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2086</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2087</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2088</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2"/>
      <c r="F19" s="1252"/>
      <c r="G19" s="1252"/>
      <c r="H19" s="996"/>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9" t="e">
        <f ca="1">SUMIF(INDIRECT("'"&amp;H20&amp;"'"&amp;"!A:A"),"承租人权益价值",INDIRECT("'"&amp;H20&amp;"'"&amp;"!c:c"))</f>
        <v>#REF!</v>
      </c>
      <c r="G20" s="929"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34" t="s">
        <v>27</v>
      </c>
      <c r="D22" s="3535"/>
      <c r="E22" s="3535"/>
      <c r="F22" s="3535"/>
      <c r="G22" s="3535"/>
      <c r="H22" s="3535"/>
      <c r="I22" s="3535"/>
      <c r="J22" s="3535"/>
      <c r="K22" s="3535"/>
      <c r="L22" s="3535"/>
      <c r="M22" s="3535"/>
      <c r="N22" s="3535"/>
      <c r="O22" s="3535"/>
      <c r="P22" s="3535"/>
      <c r="Q22" s="3536"/>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view="pageBreakPreview" topLeftCell="A7" zoomScale="70" zoomScaleNormal="70" zoomScaleSheetLayoutView="70" workbookViewId="0">
      <selection activeCell="I43" sqref="I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26.36</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246617</v>
      </c>
      <c r="C2" s="1288" t="s">
        <v>805</v>
      </c>
      <c r="D2" s="1288"/>
      <c r="E2" s="1294"/>
      <c r="F2" s="1295"/>
      <c r="G2" s="2478"/>
      <c r="H2" s="2468"/>
      <c r="I2" s="2468"/>
      <c r="J2" s="2468"/>
      <c r="K2" s="2469"/>
      <c r="L2" s="2468"/>
      <c r="M2" s="2468"/>
    </row>
    <row r="3" spans="1:37" ht="18" customHeight="1" thickBot="1">
      <c r="A3" s="1296" t="s">
        <v>806</v>
      </c>
      <c r="B3" s="1297">
        <f ca="1">IF(ISERROR(B2*10000/F43),0,ROUND(B2*10000/F43,0))</f>
        <v>9791</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20711</v>
      </c>
      <c r="D5" s="1272" t="s">
        <v>693</v>
      </c>
      <c r="E5" s="1008"/>
      <c r="F5" s="1009"/>
      <c r="G5" s="1291"/>
      <c r="H5" s="291">
        <v>1</v>
      </c>
      <c r="I5" s="292" t="s">
        <v>692</v>
      </c>
      <c r="J5" s="1007">
        <f ca="1">J6+J10+J12</f>
        <v>0</v>
      </c>
      <c r="K5" s="1272" t="s">
        <v>693</v>
      </c>
      <c r="L5" s="1008"/>
      <c r="M5" s="1009"/>
    </row>
    <row r="6" spans="1:37" ht="18" customHeight="1">
      <c r="A6" s="1006" t="s">
        <v>398</v>
      </c>
      <c r="B6" s="3439" t="s">
        <v>694</v>
      </c>
      <c r="C6" s="1011">
        <f ca="1">ROUND(F6*F8*F7*(1-F9)/10000,0)</f>
        <v>20685</v>
      </c>
      <c r="D6" s="147" t="s">
        <v>2108</v>
      </c>
      <c r="E6" s="294" t="s">
        <v>696</v>
      </c>
      <c r="F6" s="295">
        <f ca="1">INDIRECT("'数据-取费表'!u"&amp;$G$1)</f>
        <v>2.5</v>
      </c>
      <c r="G6" s="1291"/>
      <c r="H6" s="1006" t="s">
        <v>398</v>
      </c>
      <c r="I6" s="3439" t="s">
        <v>694</v>
      </c>
      <c r="J6" s="293">
        <f ca="1">ROUND(M6*M8*M7*(1-M9)/10000,0)</f>
        <v>0</v>
      </c>
      <c r="K6" s="147" t="s">
        <v>2107</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251875.15999999997</v>
      </c>
      <c r="G7" s="1291"/>
      <c r="H7" s="296"/>
      <c r="I7" s="3440"/>
      <c r="J7" s="298"/>
      <c r="K7" s="299"/>
      <c r="L7" s="294" t="s">
        <v>697</v>
      </c>
      <c r="M7" s="295">
        <f ca="1">F7</f>
        <v>251875.15999999997</v>
      </c>
    </row>
    <row r="8" spans="1:37" ht="18" customHeight="1">
      <c r="A8" s="296"/>
      <c r="B8" s="3440"/>
      <c r="C8" s="298"/>
      <c r="D8" s="299"/>
      <c r="E8" s="294" t="s">
        <v>698</v>
      </c>
      <c r="F8" s="295">
        <f ca="1">INDIRECT("'数据-取费表'!ai"&amp;$G$1)</f>
        <v>365</v>
      </c>
      <c r="G8" s="1291"/>
      <c r="H8" s="296"/>
      <c r="I8" s="3440"/>
      <c r="J8" s="298"/>
      <c r="K8" s="299"/>
      <c r="L8" s="294" t="s">
        <v>698</v>
      </c>
      <c r="M8" s="295">
        <f ca="1">INDIRECT("'数据-取费表'!ai"&amp;$G$1)</f>
        <v>365</v>
      </c>
    </row>
    <row r="9" spans="1:37" ht="18" customHeight="1">
      <c r="A9" s="296"/>
      <c r="B9" s="3441"/>
      <c r="C9" s="298"/>
      <c r="D9" s="299"/>
      <c r="E9" s="294" t="s">
        <v>699</v>
      </c>
      <c r="F9" s="304">
        <f ca="1">INDIRECT("'数据-取费表'!w"&amp;$G$1)</f>
        <v>0.1</v>
      </c>
      <c r="G9" s="1291"/>
      <c r="H9" s="296"/>
      <c r="I9" s="3441"/>
      <c r="J9" s="298"/>
      <c r="K9" s="299"/>
      <c r="L9" s="305" t="s">
        <v>699</v>
      </c>
      <c r="M9" s="306">
        <f ca="1">INDIRECT("'数据-取费表'!ab"&amp;$G$1)</f>
        <v>0</v>
      </c>
    </row>
    <row r="10" spans="1:37" ht="18" customHeight="1">
      <c r="A10" s="1006" t="s">
        <v>402</v>
      </c>
      <c r="B10" s="1273" t="s">
        <v>700</v>
      </c>
      <c r="C10" s="308">
        <f ca="1">ROUND(IF(F10="押一",C6/12*F11,IF(F10="押二",C6/12*2*F11,IF(F10="押三",C6/12*3*F11,C11*F11))),0)</f>
        <v>26</v>
      </c>
      <c r="D10" s="150" t="s">
        <v>2116</v>
      </c>
      <c r="E10" s="305" t="s">
        <v>701</v>
      </c>
      <c r="F10" s="1053" t="s">
        <v>3411</v>
      </c>
      <c r="G10" s="1291"/>
      <c r="H10" s="1006" t="s">
        <v>402</v>
      </c>
      <c r="I10" s="1273" t="s">
        <v>700</v>
      </c>
      <c r="J10" s="293">
        <f ca="1">ROUND(IF(M10="押一",J6/12*M11,IF(M10="押二",J6/12*2*M11,IF(M10="押三",J6/12*3*M11,J11*M11))),0)</f>
        <v>0</v>
      </c>
      <c r="K10" s="150" t="s">
        <v>2115</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222777</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163719</v>
      </c>
      <c r="D14" s="1256" t="s">
        <v>708</v>
      </c>
      <c r="E14" s="1254"/>
      <c r="F14" s="311"/>
      <c r="G14" s="1291"/>
      <c r="H14" s="928" t="s">
        <v>398</v>
      </c>
      <c r="I14" s="294" t="s">
        <v>709</v>
      </c>
      <c r="J14" s="21">
        <f ca="1">C29</f>
        <v>268406</v>
      </c>
      <c r="K14" s="12"/>
      <c r="L14" s="759"/>
      <c r="M14" s="760"/>
    </row>
    <row r="15" spans="1:37" s="1303" customFormat="1" ht="18" customHeight="1" thickBot="1">
      <c r="A15" s="928" t="s">
        <v>399</v>
      </c>
      <c r="B15" s="294" t="s">
        <v>710</v>
      </c>
      <c r="C15" s="21">
        <f ca="1">ROUND(C14*F15,0)</f>
        <v>16372</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2793</v>
      </c>
      <c r="K16" s="1024" t="s">
        <v>715</v>
      </c>
      <c r="L16" s="1025"/>
      <c r="M16" s="1009"/>
    </row>
    <row r="17" spans="1:37" s="1303" customFormat="1" ht="18" customHeight="1">
      <c r="A17" s="928" t="s">
        <v>681</v>
      </c>
      <c r="B17" s="294" t="s">
        <v>716</v>
      </c>
      <c r="C17" s="21">
        <f ca="1">ROUND(F17*(F43+INDIRECT("'数据-取费表'!S"&amp;$G$1))/10000,0)</f>
        <v>5038</v>
      </c>
      <c r="D17" s="294" t="s">
        <v>717</v>
      </c>
      <c r="E17" s="294" t="s">
        <v>718</v>
      </c>
      <c r="F17" s="23">
        <f>'数据-取费表'!B35</f>
        <v>200</v>
      </c>
      <c r="G17" s="1302"/>
      <c r="H17" s="928" t="s">
        <v>398</v>
      </c>
      <c r="I17" s="294" t="s">
        <v>719</v>
      </c>
      <c r="J17" s="2139">
        <f ca="1">ROUND(IF(AND(项目基本情况!B11="自然人",项目基本情况!B10="北京市"),J6*M17/(1+'数据-取费表'!C42),J18+J19+J20),2)</f>
        <v>108.53</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4912</v>
      </c>
      <c r="D18" s="294" t="s">
        <v>711</v>
      </c>
      <c r="E18" s="294" t="s">
        <v>712</v>
      </c>
      <c r="F18" s="314">
        <f>'数据-取费表'!B36</f>
        <v>0.03</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190041</v>
      </c>
      <c r="D19" s="123" t="s">
        <v>726</v>
      </c>
      <c r="E19" s="1268"/>
      <c r="F19" s="23"/>
      <c r="G19" s="1291"/>
      <c r="H19" s="928" t="s">
        <v>399</v>
      </c>
      <c r="I19" s="294" t="s">
        <v>727</v>
      </c>
      <c r="J19" s="21">
        <f ca="1">IF(K19="按租金收入计税",ROUND(J6*M19/(1+'数据-取费表'!C42),2),ROUND(C29*M19*0.7,2))</f>
        <v>0</v>
      </c>
      <c r="K19" s="1277" t="s">
        <v>3326</v>
      </c>
      <c r="L19" s="294" t="s">
        <v>712</v>
      </c>
      <c r="M19" s="314">
        <f>IF(K19="按租金收入计税",'数据-取费表'!B51,'数据-取费表'!B50)</f>
        <v>0.12</v>
      </c>
    </row>
    <row r="20" spans="1:37" s="1303" customFormat="1" ht="18" customHeight="1">
      <c r="A20" s="928" t="s">
        <v>402</v>
      </c>
      <c r="B20" s="294" t="s">
        <v>728</v>
      </c>
      <c r="C20" s="21">
        <f ca="1">ROUND(C19*F20,0)</f>
        <v>5701</v>
      </c>
      <c r="D20" s="315" t="s">
        <v>729</v>
      </c>
      <c r="E20" s="294" t="s">
        <v>712</v>
      </c>
      <c r="F20" s="314">
        <f>'数据-取费表'!B37</f>
        <v>0.03</v>
      </c>
      <c r="G20" s="1302"/>
      <c r="H20" s="928" t="s">
        <v>680</v>
      </c>
      <c r="I20" s="147" t="s">
        <v>730</v>
      </c>
      <c r="J20" s="22">
        <f ca="1">ROUND(M20*M21/10000,2)</f>
        <v>108.53</v>
      </c>
      <c r="K20" s="316" t="s">
        <v>731</v>
      </c>
      <c r="L20" s="294" t="s">
        <v>732</v>
      </c>
      <c r="M20" s="317">
        <f>'数据-取费表'!B52</f>
        <v>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217068.78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2684.06</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9172</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-2793</v>
      </c>
      <c r="K25" s="1032" t="s">
        <v>753</v>
      </c>
      <c r="L25" s="1033"/>
      <c r="M25" s="1034"/>
    </row>
    <row r="26" spans="1:37">
      <c r="A26" s="928" t="s">
        <v>397</v>
      </c>
      <c r="B26" s="294" t="s">
        <v>754</v>
      </c>
      <c r="C26" s="21">
        <f ca="1">ROUND((C19+C20)*F26,0)</f>
        <v>39148</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268406</v>
      </c>
      <c r="D29" s="1029"/>
      <c r="E29" s="1027"/>
      <c r="F29" s="1030"/>
      <c r="G29" s="1302"/>
      <c r="H29" s="325" t="s">
        <v>396</v>
      </c>
      <c r="I29" s="326" t="s">
        <v>768</v>
      </c>
      <c r="J29" s="327">
        <f ca="1">ROUND(J26/(1+F40)^F41,0)</f>
        <v>0</v>
      </c>
      <c r="K29" s="328" t="s">
        <v>769</v>
      </c>
      <c r="L29" s="329"/>
      <c r="M29" s="330">
        <f ca="1">INDIRECT("'数据-取费表'!k"&amp;$G$1)</f>
        <v>251875.15999999997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6897</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3575.73</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IF(项目基本情况!B11="自然人","——",ROUND(C6*F32/(1+'数据-取费表'!C42),2))</f>
        <v>1103.2</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2364</v>
      </c>
      <c r="D33" s="1277" t="s">
        <v>3326</v>
      </c>
      <c r="E33" s="294" t="s">
        <v>712</v>
      </c>
      <c r="F33" s="314">
        <f>IF(D33="按票据","——",IF(D33="按租金收入计税",'数据-取费表'!B51,'数据-取费表'!B50))</f>
        <v>0.12</v>
      </c>
      <c r="G33" s="1291"/>
      <c r="H33" s="2473">
        <f ca="1">C30/C6</f>
        <v>0.33343002175489483</v>
      </c>
      <c r="I33" s="1304"/>
      <c r="J33" s="1305"/>
      <c r="K33" s="2474"/>
      <c r="L33" s="2473"/>
      <c r="M33" s="2473"/>
    </row>
    <row r="34" spans="1:18" ht="18" customHeight="1">
      <c r="A34" s="1006" t="s">
        <v>680</v>
      </c>
      <c r="B34" s="147" t="s">
        <v>730</v>
      </c>
      <c r="C34" s="22">
        <f ca="1">IF(项目基本情况!B11="自然人","——",ROUND(F34*F35/10000,2))</f>
        <v>108.53</v>
      </c>
      <c r="D34" s="316" t="s">
        <v>731</v>
      </c>
      <c r="E34" s="294" t="s">
        <v>732</v>
      </c>
      <c r="F34" s="317">
        <f>'数据-取费表'!B52</f>
        <v>5</v>
      </c>
      <c r="G34" s="1291"/>
      <c r="H34" s="2470"/>
      <c r="I34" s="1304"/>
      <c r="J34" s="1305"/>
      <c r="K34" s="2475"/>
      <c r="L34" s="2476"/>
      <c r="M34" s="2476"/>
    </row>
    <row r="35" spans="1:18" ht="18" customHeight="1">
      <c r="A35" s="1040"/>
      <c r="B35" s="1038"/>
      <c r="C35" s="26"/>
      <c r="D35" s="319"/>
      <c r="E35" s="294" t="s">
        <v>736</v>
      </c>
      <c r="F35" s="295">
        <f ca="1">INDIRECT("'数据-取费表'!r"&amp;$G$1)</f>
        <v>217068.78</v>
      </c>
      <c r="G35" s="1291"/>
      <c r="H35" s="2470"/>
      <c r="I35" s="1304"/>
      <c r="J35" s="1305"/>
      <c r="K35" s="2474"/>
      <c r="L35" s="2473"/>
      <c r="M35" s="2473"/>
    </row>
    <row r="36" spans="1:18" ht="18" customHeight="1">
      <c r="A36" s="1039" t="s">
        <v>402</v>
      </c>
      <c r="B36" s="294" t="s">
        <v>738</v>
      </c>
      <c r="C36" s="21">
        <f ca="1">ROUND(C29*F36,2)</f>
        <v>2684.06</v>
      </c>
      <c r="D36" s="1255" t="s">
        <v>771</v>
      </c>
      <c r="E36" s="294" t="s">
        <v>712</v>
      </c>
      <c r="F36" s="320">
        <f ca="1">INDIRECT("'数据-取费表'!Ak"&amp;$G$1)</f>
        <v>0.01</v>
      </c>
      <c r="G36" s="1291"/>
      <c r="H36" s="2473"/>
      <c r="I36" s="1304"/>
      <c r="J36" s="1305"/>
      <c r="K36" s="2330"/>
      <c r="L36" s="2473"/>
      <c r="M36" s="2473"/>
    </row>
    <row r="37" spans="1:18" ht="18" customHeight="1">
      <c r="A37" s="928" t="s">
        <v>437</v>
      </c>
      <c r="B37" s="294" t="s">
        <v>742</v>
      </c>
      <c r="C37" s="21">
        <f ca="1">ROUND(C13*F37,2)</f>
        <v>222.78</v>
      </c>
      <c r="D37" s="1255" t="s">
        <v>743</v>
      </c>
      <c r="E37" s="294" t="s">
        <v>744</v>
      </c>
      <c r="F37" s="321">
        <f ca="1">INDIRECT("'数据-取费表'!Al"&amp;$G$1)</f>
        <v>1E-3</v>
      </c>
      <c r="G37" s="1291"/>
      <c r="H37" s="2473"/>
      <c r="I37" s="1304"/>
      <c r="J37" s="1305"/>
      <c r="K37" s="2330"/>
      <c r="L37" s="2473"/>
      <c r="M37" s="2473"/>
    </row>
    <row r="38" spans="1:18" ht="18" customHeight="1" thickBot="1">
      <c r="A38" s="1026" t="s">
        <v>684</v>
      </c>
      <c r="B38" s="1027" t="s">
        <v>728</v>
      </c>
      <c r="C38" s="1028">
        <f ca="1">ROUND(C5*F38,2)</f>
        <v>414.22</v>
      </c>
      <c r="D38" s="1029" t="s">
        <v>748</v>
      </c>
      <c r="E38" s="1027" t="s">
        <v>744</v>
      </c>
      <c r="F38" s="1023">
        <f ca="1">INDIRECT("'数据-取费表'!Am"&amp;$G$1)</f>
        <v>0.02</v>
      </c>
      <c r="G38" s="1291"/>
      <c r="H38" s="2473"/>
      <c r="I38" s="1304"/>
      <c r="J38" s="1305"/>
      <c r="K38" s="2471"/>
      <c r="L38" s="2473"/>
      <c r="M38" s="2473"/>
    </row>
    <row r="39" spans="1:18" ht="24.6" customHeight="1" thickTop="1">
      <c r="A39" s="1016" t="s">
        <v>394</v>
      </c>
      <c r="B39" s="1031" t="s">
        <v>772</v>
      </c>
      <c r="C39" s="302">
        <f ca="1">C5-C30</f>
        <v>13814</v>
      </c>
      <c r="D39" s="1032" t="s">
        <v>773</v>
      </c>
      <c r="E39" s="1033"/>
      <c r="F39" s="1034"/>
      <c r="G39" s="1291"/>
      <c r="H39" s="2473"/>
      <c r="I39" s="1304"/>
      <c r="J39" s="1305"/>
      <c r="K39" s="2471"/>
      <c r="L39" s="2473"/>
      <c r="M39" s="2473"/>
    </row>
    <row r="40" spans="1:18" ht="18" customHeight="1">
      <c r="A40" s="291" t="s">
        <v>395</v>
      </c>
      <c r="B40" s="292" t="s">
        <v>774</v>
      </c>
      <c r="C40" s="293">
        <f ca="1">ROUND(C39*(1-((1+F42)/(1+F40))^F41)/(F40-F42),0)</f>
        <v>232498</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26.36</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9231</v>
      </c>
      <c r="D43" s="328" t="s">
        <v>777</v>
      </c>
      <c r="E43" s="329" t="s">
        <v>778</v>
      </c>
      <c r="F43" s="330">
        <f ca="1">INDIRECT("'数据-取费表'!k"&amp;$G$1)</f>
        <v>251875.15999999997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f ca="1">C68-C40</f>
        <v>-273964</v>
      </c>
      <c r="D46" s="1312" t="str">
        <f>C2</f>
        <v>万元</v>
      </c>
      <c r="E46" s="1306"/>
      <c r="F46" s="1306"/>
      <c r="I46" s="1313" t="s">
        <v>810</v>
      </c>
      <c r="J46" s="1314"/>
      <c r="K46" s="1315"/>
      <c r="L46" s="1316">
        <f ca="1">IF(M47="住宅",0,IF(L48&gt;J51,L60,J60))</f>
        <v>14119</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3412</v>
      </c>
      <c r="K47" s="1322" t="s">
        <v>816</v>
      </c>
      <c r="L47" s="1323">
        <f ca="1">INDIRECT("'数据-取费表'!d"&amp;$G$1)</f>
        <v>40</v>
      </c>
      <c r="M47" s="1287" t="str">
        <f>IF(ISNUMBER(FIND("住宅",C1)),"住宅","非住宅")</f>
        <v>非住宅</v>
      </c>
      <c r="O47" s="1324" t="s">
        <v>403</v>
      </c>
      <c r="P47" s="1325" t="s">
        <v>817</v>
      </c>
      <c r="Q47" s="1326">
        <f ca="1">C40+J29</f>
        <v>232498</v>
      </c>
      <c r="R47" s="1326" t="s">
        <v>818</v>
      </c>
    </row>
    <row r="48" spans="1:18" s="1291" customFormat="1" ht="28.5" thickBot="1">
      <c r="A48" s="1047" t="s">
        <v>438</v>
      </c>
      <c r="B48" s="292" t="s">
        <v>692</v>
      </c>
      <c r="C48" s="1267">
        <f ca="1">C49+C53+C55</f>
        <v>0</v>
      </c>
      <c r="D48" s="1049"/>
      <c r="E48" s="1050"/>
      <c r="F48" s="908"/>
      <c r="G48" s="681"/>
      <c r="H48" s="682"/>
      <c r="I48" s="1327" t="s">
        <v>819</v>
      </c>
      <c r="J48" s="1328" t="s">
        <v>3413</v>
      </c>
      <c r="K48" s="1329" t="s">
        <v>820</v>
      </c>
      <c r="L48" s="1330">
        <f ca="1">INDIRECT("'数据-取费表'!f"&amp;$G$1)</f>
        <v>26.36</v>
      </c>
      <c r="O48" s="1324" t="s">
        <v>404</v>
      </c>
      <c r="P48" s="1325" t="s">
        <v>821</v>
      </c>
      <c r="Q48" s="1326">
        <f ca="1">J60</f>
        <v>14119</v>
      </c>
      <c r="R48" s="1326" t="s">
        <v>822</v>
      </c>
    </row>
    <row r="49" spans="1:18" s="1291" customFormat="1" ht="13.5" thickBot="1">
      <c r="A49" s="921" t="s">
        <v>439</v>
      </c>
      <c r="B49" s="1278" t="s">
        <v>779</v>
      </c>
      <c r="C49" s="1051">
        <f ca="1">ROUND(F49*F51*F50*(1-F52)/10000,0)</f>
        <v>0</v>
      </c>
      <c r="D49" s="992" t="s">
        <v>2109</v>
      </c>
      <c r="E49" s="1279" t="s">
        <v>780</v>
      </c>
      <c r="F49" s="997"/>
      <c r="H49" s="682"/>
      <c r="I49" s="1327" t="s">
        <v>823</v>
      </c>
      <c r="J49" s="1331">
        <v>2015</v>
      </c>
      <c r="K49" s="1329" t="s">
        <v>824</v>
      </c>
      <c r="L49" s="1332"/>
      <c r="O49" s="1333" t="s">
        <v>405</v>
      </c>
      <c r="P49" s="1325" t="s">
        <v>825</v>
      </c>
      <c r="Q49" s="1326">
        <f ca="1">C29</f>
        <v>268406</v>
      </c>
      <c r="R49" s="1326" t="s">
        <v>818</v>
      </c>
    </row>
    <row r="50" spans="1:18" s="1291" customFormat="1" ht="13.5" thickBot="1">
      <c r="A50" s="922"/>
      <c r="B50" s="925"/>
      <c r="C50" s="1055"/>
      <c r="D50" s="899"/>
      <c r="E50" s="993" t="s">
        <v>697</v>
      </c>
      <c r="F50" s="994">
        <f ca="1">F7</f>
        <v>251875.15999999997</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-32503</v>
      </c>
      <c r="M51" s="1340"/>
      <c r="O51" s="1333" t="s">
        <v>407</v>
      </c>
      <c r="P51" s="1325" t="s">
        <v>831</v>
      </c>
      <c r="Q51" s="1336">
        <f>J52</f>
        <v>0.08</v>
      </c>
      <c r="R51" s="1326"/>
    </row>
    <row r="52" spans="1:18" s="1291" customFormat="1" ht="13.5" thickBot="1">
      <c r="A52" s="923"/>
      <c r="B52" s="925"/>
      <c r="C52" s="926"/>
      <c r="D52" s="899"/>
      <c r="E52" s="927" t="s">
        <v>699</v>
      </c>
      <c r="F52" s="991"/>
      <c r="I52" s="1341" t="s">
        <v>832</v>
      </c>
      <c r="J52" s="1342">
        <v>0.08</v>
      </c>
      <c r="K52" s="1341" t="s">
        <v>833</v>
      </c>
      <c r="L52" s="1342"/>
      <c r="O52" s="1333" t="s">
        <v>408</v>
      </c>
      <c r="P52" s="1325" t="s">
        <v>834</v>
      </c>
      <c r="Q52" s="1326">
        <f ca="1">J53</f>
        <v>26.36</v>
      </c>
      <c r="R52" s="1326" t="s">
        <v>835</v>
      </c>
    </row>
    <row r="53" spans="1:18" s="1291" customFormat="1" ht="24.75" thickBot="1">
      <c r="A53" s="1079" t="s">
        <v>440</v>
      </c>
      <c r="B53" s="1280"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26.36</v>
      </c>
      <c r="K53" s="3442" t="s">
        <v>837</v>
      </c>
      <c r="L53" s="3443"/>
      <c r="O53" s="1324" t="s">
        <v>409</v>
      </c>
      <c r="P53" s="1325" t="s">
        <v>838</v>
      </c>
      <c r="Q53" s="1326">
        <f ca="1">Q47+Q48</f>
        <v>246617</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0.39400000000000002</v>
      </c>
      <c r="K55" s="1349" t="s">
        <v>841</v>
      </c>
      <c r="L55" s="1350"/>
      <c r="O55" s="1317" t="s">
        <v>811</v>
      </c>
      <c r="P55" s="1318" t="s">
        <v>812</v>
      </c>
      <c r="Q55" s="1319" t="s">
        <v>813</v>
      </c>
      <c r="R55" s="1319" t="s">
        <v>814</v>
      </c>
    </row>
    <row r="56" spans="1:18" s="1291" customFormat="1" ht="25.5" thickTop="1" thickBot="1">
      <c r="A56" s="903">
        <v>2</v>
      </c>
      <c r="B56" s="904" t="s">
        <v>704</v>
      </c>
      <c r="C56" s="224">
        <f ca="1">C13</f>
        <v>222777</v>
      </c>
      <c r="D56" s="1351"/>
      <c r="E56" s="1352"/>
      <c r="F56" s="1344"/>
      <c r="I56" s="1353" t="s">
        <v>842</v>
      </c>
      <c r="J56" s="1354" t="s">
        <v>3414</v>
      </c>
      <c r="K56" s="1327" t="s">
        <v>843</v>
      </c>
      <c r="L56" s="1330" t="str">
        <f ca="1">IF(L48&lt;J51,"——",L48-J53)</f>
        <v>——</v>
      </c>
      <c r="O56" s="1324" t="s">
        <v>403</v>
      </c>
      <c r="P56" s="1325" t="s">
        <v>817</v>
      </c>
      <c r="Q56" s="1326">
        <f ca="1">C40+J29</f>
        <v>232498</v>
      </c>
      <c r="R56" s="1326" t="s">
        <v>818</v>
      </c>
    </row>
    <row r="57" spans="1:18" s="1291" customFormat="1" ht="24.75" thickBot="1">
      <c r="A57" s="1355"/>
      <c r="B57" s="896" t="s">
        <v>767</v>
      </c>
      <c r="C57" s="230">
        <f ca="1">C29</f>
        <v>268406</v>
      </c>
      <c r="D57" s="1356"/>
      <c r="E57" s="1357"/>
      <c r="F57" s="1358"/>
      <c r="I57" s="1359" t="s">
        <v>844</v>
      </c>
      <c r="J57" s="1360">
        <f ca="1">IF(OR(M47="住宅",J51&lt;L48,J56="是"),"——",J51-L48)</f>
        <v>23.64</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3016</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109</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107362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14119</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3326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108.53</v>
      </c>
      <c r="D62" s="911" t="s">
        <v>786</v>
      </c>
      <c r="E62" s="896" t="s">
        <v>787</v>
      </c>
      <c r="F62" s="317">
        <f t="shared" si="0"/>
        <v>5</v>
      </c>
      <c r="I62" s="1366" t="s">
        <v>858</v>
      </c>
      <c r="J62" s="610" t="s">
        <v>859</v>
      </c>
      <c r="K62" s="610" t="s">
        <v>860</v>
      </c>
      <c r="L62" s="610" t="s">
        <v>861</v>
      </c>
      <c r="M62" s="1367" t="s">
        <v>862</v>
      </c>
      <c r="O62" s="1324" t="s">
        <v>409</v>
      </c>
      <c r="P62" s="1325" t="s">
        <v>863</v>
      </c>
      <c r="Q62" s="1326">
        <f ca="1">Q56+Q57</f>
        <v>232498</v>
      </c>
      <c r="R62" s="1326" t="s">
        <v>410</v>
      </c>
    </row>
    <row r="63" spans="1:18" s="1291" customFormat="1" ht="13.5" thickBot="1">
      <c r="A63" s="318"/>
      <c r="B63" s="902"/>
      <c r="C63" s="26"/>
      <c r="D63" s="912"/>
      <c r="E63" s="896" t="s">
        <v>788</v>
      </c>
      <c r="F63" s="295">
        <f t="shared" ca="1" si="0"/>
        <v>217068.78</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2684.06</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222.78</v>
      </c>
      <c r="D65" s="910" t="s">
        <v>743</v>
      </c>
      <c r="E65" s="896" t="s">
        <v>744</v>
      </c>
      <c r="F65" s="321">
        <f t="shared" ca="1" si="0"/>
        <v>1E-3</v>
      </c>
      <c r="I65" s="1366" t="s">
        <v>867</v>
      </c>
      <c r="J65" s="610">
        <v>40</v>
      </c>
      <c r="K65" s="610">
        <v>30</v>
      </c>
      <c r="L65" s="610">
        <v>50</v>
      </c>
      <c r="M65" s="1368">
        <v>0.02</v>
      </c>
      <c r="O65" s="1324" t="s">
        <v>403</v>
      </c>
      <c r="P65" s="1325" t="s">
        <v>868</v>
      </c>
      <c r="Q65" s="1326">
        <f ca="1">C40+J29</f>
        <v>232498</v>
      </c>
      <c r="R65" s="1326" t="s">
        <v>818</v>
      </c>
    </row>
    <row r="66" spans="1:18" s="1291" customFormat="1" ht="16.5" thickBot="1">
      <c r="A66" s="928" t="s">
        <v>793</v>
      </c>
      <c r="B66" s="896" t="s">
        <v>728</v>
      </c>
      <c r="C66" s="21">
        <f ca="1">ROUND(C48*F66,2)</f>
        <v>0</v>
      </c>
      <c r="D66" s="910" t="s">
        <v>794</v>
      </c>
      <c r="E66" s="896" t="s">
        <v>712</v>
      </c>
      <c r="F66" s="304">
        <f t="shared" ca="1" si="0"/>
        <v>0.02</v>
      </c>
      <c r="O66" s="1324" t="s">
        <v>404</v>
      </c>
      <c r="P66" s="1325" t="s">
        <v>846</v>
      </c>
      <c r="Q66" s="1326">
        <f ca="1">L60</f>
        <v>0</v>
      </c>
      <c r="R66" s="1326" t="s">
        <v>869</v>
      </c>
    </row>
    <row r="67" spans="1:18" s="1291" customFormat="1" ht="16.5" thickBot="1">
      <c r="A67" s="903" t="s">
        <v>394</v>
      </c>
      <c r="B67" s="913" t="s">
        <v>752</v>
      </c>
      <c r="C67" s="308">
        <f ca="1">C48-C58</f>
        <v>-3016</v>
      </c>
      <c r="D67" s="909" t="s">
        <v>753</v>
      </c>
      <c r="E67" s="914"/>
      <c r="F67" s="915"/>
      <c r="O67" s="1333" t="s">
        <v>405</v>
      </c>
      <c r="P67" s="1325" t="s">
        <v>850</v>
      </c>
      <c r="Q67" s="1369">
        <f ca="1">L51</f>
        <v>-32503</v>
      </c>
      <c r="R67" s="1326" t="s">
        <v>870</v>
      </c>
    </row>
    <row r="68" spans="1:18" s="1291" customFormat="1" ht="16.5" thickBot="1">
      <c r="A68" s="893" t="s">
        <v>395</v>
      </c>
      <c r="B68" s="894" t="s">
        <v>774</v>
      </c>
      <c r="C68" s="293">
        <f ca="1">ROUND(C67*(1-((1+F70)/(1+F68))^F69)/(F68-F70),0)</f>
        <v>-41466</v>
      </c>
      <c r="D68" s="911" t="s">
        <v>758</v>
      </c>
      <c r="E68" s="896" t="s">
        <v>759</v>
      </c>
      <c r="F68" s="304">
        <f ca="1">F40</f>
        <v>5.5E-2</v>
      </c>
      <c r="O68" s="1333" t="s">
        <v>406</v>
      </c>
      <c r="P68" s="1370" t="s">
        <v>871</v>
      </c>
      <c r="Q68" s="1326">
        <f ca="1">ROUND(Q69-Q70*Q71,0)</f>
        <v>-1780</v>
      </c>
      <c r="R68" s="1326" t="s">
        <v>414</v>
      </c>
    </row>
    <row r="69" spans="1:18" s="1291" customFormat="1" ht="13.5" thickBot="1">
      <c r="A69" s="897"/>
      <c r="B69" s="898"/>
      <c r="C69" s="298"/>
      <c r="D69" s="916" t="s">
        <v>762</v>
      </c>
      <c r="E69" s="896" t="s">
        <v>763</v>
      </c>
      <c r="F69" s="324">
        <f ca="1">F41</f>
        <v>26.36</v>
      </c>
      <c r="O69" s="1333" t="s">
        <v>411</v>
      </c>
      <c r="P69" s="1370" t="s">
        <v>872</v>
      </c>
      <c r="Q69" s="1326">
        <f ca="1">C39</f>
        <v>13814</v>
      </c>
      <c r="R69" s="1326" t="s">
        <v>818</v>
      </c>
    </row>
    <row r="70" spans="1:18" s="1291" customFormat="1" ht="13.5" thickBot="1">
      <c r="A70" s="900"/>
      <c r="B70" s="901"/>
      <c r="C70" s="302"/>
      <c r="D70" s="912"/>
      <c r="E70" s="896" t="s">
        <v>766</v>
      </c>
      <c r="F70" s="991"/>
      <c r="O70" s="1333" t="s">
        <v>412</v>
      </c>
      <c r="P70" s="1370" t="s">
        <v>873</v>
      </c>
      <c r="Q70" s="1326">
        <f ca="1">C13</f>
        <v>222777</v>
      </c>
      <c r="R70" s="1326" t="s">
        <v>818</v>
      </c>
    </row>
    <row r="71" spans="1:18" s="1291" customFormat="1" ht="13.5" thickBot="1">
      <c r="A71" s="917" t="s">
        <v>396</v>
      </c>
      <c r="B71" s="918" t="s">
        <v>776</v>
      </c>
      <c r="C71" s="327">
        <f ca="1">ROUND(C68*10000/F71,0)</f>
        <v>-1646</v>
      </c>
      <c r="D71" s="919" t="s">
        <v>777</v>
      </c>
      <c r="E71" s="920" t="s">
        <v>778</v>
      </c>
      <c r="F71" s="330">
        <f ca="1">F43</f>
        <v>251875.15999999997</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15594</v>
      </c>
      <c r="D75" s="1291"/>
      <c r="E75" s="1291"/>
      <c r="F75" s="1291"/>
      <c r="K75" s="1308"/>
      <c r="L75" s="1291"/>
      <c r="O75" s="1324" t="s">
        <v>409</v>
      </c>
      <c r="P75" s="1325" t="s">
        <v>838</v>
      </c>
      <c r="Q75" s="1326">
        <f ca="1">Q65+Q66</f>
        <v>232498</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-0.129</v>
      </c>
    </row>
    <row r="80" spans="1:18">
      <c r="B80" s="331" t="s">
        <v>800</v>
      </c>
      <c r="C80" s="266">
        <f ca="1">ROUND(C75/C39,3)</f>
        <v>1.129</v>
      </c>
    </row>
    <row r="81" spans="2:3">
      <c r="B81" s="262" t="s">
        <v>801</v>
      </c>
      <c r="C81" s="230"/>
    </row>
    <row r="82" spans="2:3">
      <c r="B82" s="265" t="s">
        <v>802</v>
      </c>
      <c r="C82" s="267">
        <f ca="1">1-C83</f>
        <v>4.2000000000000037E-2</v>
      </c>
    </row>
    <row r="83" spans="2:3">
      <c r="B83" s="265" t="s">
        <v>803</v>
      </c>
      <c r="C83" s="266">
        <f ca="1">ROUND(C13/C40,3)</f>
        <v>0.95799999999999996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7">
      <formula>$J$51&gt;$L$48</formula>
    </cfRule>
  </conditionalFormatting>
  <conditionalFormatting sqref="J11">
    <cfRule type="expression" dxfId="22" priority="2">
      <formula>$M$10="自定义"</formula>
    </cfRule>
  </conditionalFormatting>
  <conditionalFormatting sqref="K55 K60">
    <cfRule type="expression" dxfId="21" priority="56">
      <formula>$L$48&gt;$J$51</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估价范围判定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2" sqref="E1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6"/>
      <c r="L1" s="1842" t="s">
        <v>1927</v>
      </c>
      <c r="M1" s="810">
        <f>SUMPRODUCT((区片价!B5:B9=I2)*(区片价!C3:G3=E2)*(区片价!C5:G9))</f>
        <v>0</v>
      </c>
      <c r="N1" s="813">
        <f>SUMPRODUCT((因素修正幅度!B5:B9=I2)*(因素修正幅度!C3:G3=E2)*(因素修正幅度!C5:G9))</f>
        <v>0</v>
      </c>
      <c r="O1" s="1843"/>
      <c r="P1" s="1843"/>
      <c r="Q1" s="1056"/>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5" t="s">
        <v>1934</v>
      </c>
      <c r="D2" s="162" t="s">
        <v>1935</v>
      </c>
      <c r="E2" s="3118"/>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6"/>
      <c r="L2" s="1846" t="s">
        <v>1938</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5" t="s">
        <v>1940</v>
      </c>
      <c r="D3" s="162" t="s">
        <v>1941</v>
      </c>
      <c r="E3" s="3116"/>
      <c r="F3" s="1847"/>
      <c r="G3" s="708">
        <f>IF(F3="宗地容积率",'数据-汇总表'!I4,IF(F3="估价对象容积率",'数据-汇总表'!I6,'数据-汇总表'!I7))</f>
        <v>0</v>
      </c>
      <c r="H3" s="162" t="s">
        <v>1942</v>
      </c>
      <c r="I3" s="729"/>
      <c r="J3" s="1841" t="s">
        <v>1943</v>
      </c>
      <c r="K3" s="1056"/>
      <c r="L3" s="1846" t="s">
        <v>1944</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547"/>
      <c r="B4" s="3548"/>
      <c r="C4" s="3548"/>
      <c r="D4" s="3549"/>
      <c r="E4" s="3549"/>
      <c r="F4" s="3549"/>
      <c r="G4" s="3549"/>
      <c r="H4" s="3549"/>
      <c r="I4" s="3549"/>
      <c r="J4" s="3550"/>
      <c r="K4" s="1056"/>
      <c r="L4" s="1846" t="s">
        <v>1945</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9" t="e">
        <f>ROUND(IF(E2="商业",C6*C7*C17+C20,(IF(E2="住宅",C6*C13*C17+C20,IF(E2="办公",C6*C12*C17+C20,C6+C20)))),0)</f>
        <v>#DIV/0!</v>
      </c>
      <c r="D5" s="1251" t="e">
        <f>ROUND(C6*C17+C20,0)</f>
        <v>#DIV/0!</v>
      </c>
      <c r="E5" s="1251"/>
      <c r="F5" s="1850"/>
      <c r="G5" s="1851"/>
      <c r="H5" s="1851"/>
      <c r="I5" s="1851"/>
      <c r="J5" s="1852"/>
      <c r="K5" s="1853"/>
      <c r="L5" s="1846" t="s">
        <v>1947</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10">
        <f>SUMIF(L1:L12,G2,M1:M12)</f>
        <v>0</v>
      </c>
      <c r="D6" s="1860"/>
      <c r="E6" s="1861"/>
      <c r="F6" s="1861"/>
      <c r="G6" s="1862"/>
      <c r="H6" s="1862"/>
      <c r="I6" s="1862"/>
      <c r="J6" s="1863"/>
      <c r="K6" s="1291"/>
      <c r="L6" s="1846" t="s">
        <v>1950</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4"/>
      <c r="AD6" s="1855"/>
      <c r="AE6" s="1855"/>
      <c r="AF6" s="1855"/>
      <c r="AG6" s="1855"/>
      <c r="AH6" s="1855"/>
      <c r="AI6" s="1855"/>
      <c r="AJ6" s="1856"/>
    </row>
    <row r="7" spans="1:36" ht="24.75" thickBot="1">
      <c r="A7" s="3010" t="s">
        <v>3227</v>
      </c>
      <c r="B7" s="1864" t="s">
        <v>1951</v>
      </c>
      <c r="C7" s="711" t="e">
        <f>IF(C8="不临65条商业街",1,ROUND(1+(1.6*E8+1.2*E9+0.8*E10+0.4*E11)*C9,4))</f>
        <v>#DIV/0!</v>
      </c>
      <c r="D7" s="1865" t="s">
        <v>1952</v>
      </c>
      <c r="E7" s="730"/>
      <c r="F7" s="1866"/>
      <c r="G7" s="1867"/>
      <c r="H7" s="1867"/>
      <c r="I7" s="1867"/>
      <c r="J7" s="1868"/>
      <c r="K7" s="1291"/>
      <c r="L7" s="1846" t="s">
        <v>1953</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7"/>
      <c r="B8" s="162" t="s">
        <v>1956</v>
      </c>
      <c r="C8" s="1869"/>
      <c r="D8" s="712" t="s">
        <v>112</v>
      </c>
      <c r="E8" s="713" t="e">
        <f>ROUND(C11/E7,4)</f>
        <v>#DIV/0!</v>
      </c>
      <c r="F8" s="1870" t="s">
        <v>1957</v>
      </c>
      <c r="G8" s="1871"/>
      <c r="H8" s="1871"/>
      <c r="I8" s="1871"/>
      <c r="J8" s="1872"/>
      <c r="K8" s="1056"/>
      <c r="L8" s="1846" t="s">
        <v>1958</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544" t="s">
        <v>1959</v>
      </c>
      <c r="X8" s="3545"/>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7"/>
      <c r="B9" s="162" t="s">
        <v>1972</v>
      </c>
      <c r="C9" s="714">
        <f>SUMIF(修正!C71:C138,C8,修正!E71:E138)</f>
        <v>0</v>
      </c>
      <c r="D9" s="163" t="s">
        <v>113</v>
      </c>
      <c r="E9" s="163" t="e">
        <f>ROUND(C11/E7,4)</f>
        <v>#DIV/0!</v>
      </c>
      <c r="F9" s="1870" t="s">
        <v>1973</v>
      </c>
      <c r="G9" s="1871"/>
      <c r="H9" s="1871"/>
      <c r="I9" s="1871"/>
      <c r="J9" s="1872"/>
      <c r="K9" s="1056"/>
      <c r="L9" s="1846" t="s">
        <v>1974</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546"/>
      <c r="X9" s="3062" t="s">
        <v>3258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1975</v>
      </c>
      <c r="C10" s="163">
        <f>SUMIF(修正!C71:C138,C8,修正!F71:F138)</f>
        <v>0</v>
      </c>
      <c r="D10" s="163" t="s">
        <v>114</v>
      </c>
      <c r="E10" s="163" t="e">
        <f>ROUND(C11/E7,4)</f>
        <v>#DIV/0!</v>
      </c>
      <c r="F10" s="1870" t="s">
        <v>1976</v>
      </c>
      <c r="G10" s="1871"/>
      <c r="H10" s="1871"/>
      <c r="I10" s="1871"/>
      <c r="J10" s="1872"/>
      <c r="K10" s="1056"/>
      <c r="L10" s="1846" t="s">
        <v>1977</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54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1978</v>
      </c>
      <c r="C11" s="715">
        <f>C10/4</f>
        <v>0</v>
      </c>
      <c r="D11" s="715" t="s">
        <v>115</v>
      </c>
      <c r="E11" s="715" t="e">
        <f>ROUND(C11/E7,4)</f>
        <v>#DIV/0!</v>
      </c>
      <c r="F11" s="1874" t="s">
        <v>1979</v>
      </c>
      <c r="G11" s="1875"/>
      <c r="H11" s="1875"/>
      <c r="I11" s="1875"/>
      <c r="J11" s="1876"/>
      <c r="K11" s="1056"/>
      <c r="L11" s="1846" t="s">
        <v>1980</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3"/>
      <c r="AE11" s="2553"/>
      <c r="AF11" s="2553"/>
      <c r="AG11" s="2553"/>
      <c r="AH11" s="2553"/>
      <c r="AI11" s="2553"/>
      <c r="AJ11" s="2554"/>
    </row>
    <row r="12" spans="1:36" ht="25.5" thickBot="1">
      <c r="A12" s="3010" t="s">
        <v>3228</v>
      </c>
      <c r="B12" s="3011" t="s">
        <v>3229</v>
      </c>
      <c r="C12" s="3012"/>
      <c r="D12" s="3013" t="s">
        <v>3230</v>
      </c>
      <c r="E12" s="3014" t="s">
        <v>3231</v>
      </c>
      <c r="F12" s="3015"/>
      <c r="G12" s="3016"/>
      <c r="H12" s="3016"/>
      <c r="I12" s="3016"/>
      <c r="J12" s="3017"/>
      <c r="K12" s="1056"/>
      <c r="L12" s="1795" t="s">
        <v>1983</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3"/>
      <c r="AE12" s="2553"/>
      <c r="AF12" s="2553"/>
      <c r="AG12" s="2553"/>
      <c r="AH12" s="2553"/>
      <c r="AI12" s="2553"/>
      <c r="AJ12" s="2554"/>
    </row>
    <row r="13" spans="1:36" ht="15.75" thickBot="1">
      <c r="A13" s="3010" t="s">
        <v>3232</v>
      </c>
      <c r="B13" s="1877" t="s">
        <v>1981</v>
      </c>
      <c r="C13" s="711">
        <f>ROUND(C16*D16*E16*F16*G16*H16*I16*J16,4)</f>
        <v>0</v>
      </c>
      <c r="D13" s="1878" t="s">
        <v>1982</v>
      </c>
      <c r="E13" s="1879"/>
      <c r="F13" s="1879"/>
      <c r="G13" s="1880"/>
      <c r="H13" s="1880"/>
      <c r="I13" s="1880"/>
      <c r="J13" s="1881"/>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3"/>
      <c r="AE13" s="2553"/>
      <c r="AF13" s="2553"/>
      <c r="AG13" s="2553"/>
      <c r="AH13" s="2553"/>
      <c r="AI13" s="2553"/>
      <c r="AJ13" s="2554"/>
    </row>
    <row r="14" spans="1:36" ht="15">
      <c r="A14" s="3006"/>
      <c r="B14" s="1882" t="s">
        <v>1984</v>
      </c>
      <c r="C14" s="1883" t="s">
        <v>1985</v>
      </c>
      <c r="D14" s="1260" t="s">
        <v>1986</v>
      </c>
      <c r="E14" s="27" t="s">
        <v>1987</v>
      </c>
      <c r="F14" s="3018" t="s">
        <v>3233</v>
      </c>
      <c r="G14" s="3018" t="s">
        <v>3233</v>
      </c>
      <c r="H14" s="3018" t="s">
        <v>3233</v>
      </c>
      <c r="I14" s="3018" t="s">
        <v>3233</v>
      </c>
      <c r="J14" s="3018" t="s">
        <v>3233</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3"/>
      <c r="AE14" s="2553"/>
      <c r="AF14" s="2553"/>
      <c r="AG14" s="2553"/>
      <c r="AH14" s="2553"/>
      <c r="AI14" s="2553"/>
      <c r="AJ14" s="2554"/>
    </row>
    <row r="15" spans="1:36" ht="15">
      <c r="A15" s="3006"/>
      <c r="B15" s="1884"/>
      <c r="C15" s="1885"/>
      <c r="D15" s="1886"/>
      <c r="E15" s="1887"/>
      <c r="F15" s="1469" t="s">
        <v>3234</v>
      </c>
      <c r="G15" s="1927"/>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3"/>
      <c r="AE15" s="2553"/>
      <c r="AF15" s="2553"/>
      <c r="AG15" s="2553"/>
      <c r="AH15" s="2553"/>
      <c r="AI15" s="2553"/>
      <c r="AJ15" s="2554"/>
    </row>
    <row r="16" spans="1:36" ht="15.75" thickBot="1">
      <c r="A16" s="3006"/>
      <c r="B16" s="3024" t="s">
        <v>1988</v>
      </c>
      <c r="C16" s="3022"/>
      <c r="D16" s="3022"/>
      <c r="E16" s="3022"/>
      <c r="F16" s="3022">
        <v>1</v>
      </c>
      <c r="G16" s="3022">
        <v>1</v>
      </c>
      <c r="H16" s="3022">
        <v>1</v>
      </c>
      <c r="I16" s="3022">
        <v>1</v>
      </c>
      <c r="J16" s="3023">
        <v>1</v>
      </c>
      <c r="K16" s="1056"/>
      <c r="L16" s="1843"/>
      <c r="M16" s="1843"/>
      <c r="N16" s="1843"/>
      <c r="O16" s="1843"/>
      <c r="P16" s="1843"/>
      <c r="Q16" s="1056"/>
      <c r="R16" s="1128">
        <v>15</v>
      </c>
      <c r="S16" s="1129"/>
      <c r="T16" s="3061" t="e">
        <f t="shared" si="0"/>
        <v>#DIV/0!</v>
      </c>
      <c r="U16" s="1129"/>
      <c r="V16" s="3061" t="e">
        <f t="shared" si="1"/>
        <v>#DIV/0!</v>
      </c>
      <c r="W16" s="1132"/>
      <c r="X16" s="1132"/>
      <c r="Y16" s="1132"/>
      <c r="Z16" s="1132"/>
      <c r="AA16" s="1132"/>
      <c r="AB16" s="1132"/>
      <c r="AC16" s="1133"/>
      <c r="AD16" s="2553"/>
      <c r="AE16" s="2553"/>
      <c r="AF16" s="2553"/>
      <c r="AG16" s="2553"/>
      <c r="AH16" s="2553"/>
      <c r="AI16" s="2553"/>
      <c r="AJ16" s="2554"/>
    </row>
    <row r="17" spans="1:37">
      <c r="A17" s="3033" t="s">
        <v>3235</v>
      </c>
      <c r="B17" s="3025" t="s">
        <v>3236</v>
      </c>
      <c r="C17" s="3034">
        <f>ROUND(IF(OR(E2="工业",E2="公共服务"),1,IF(AND(E18=0,E19=0),1,IF(AND(E18=J24,E19=G19),0.8,IF(E19=0,1+E17*(-0.2),1+E17*G17*(-0.2))))),4)</f>
        <v>1</v>
      </c>
      <c r="D17" s="3026" t="s">
        <v>3237</v>
      </c>
      <c r="E17" s="3034" t="e">
        <f>ROUND(G18/I18,2)</f>
        <v>#DIV/0!</v>
      </c>
      <c r="F17" s="3026" t="s">
        <v>3240</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6"/>
      <c r="B18" s="2309"/>
      <c r="C18" s="3032"/>
      <c r="D18" s="3027" t="s">
        <v>3238</v>
      </c>
      <c r="E18" s="2356"/>
      <c r="F18" s="3028" t="s">
        <v>3241</v>
      </c>
      <c r="G18" s="3032">
        <f>ROUND(1-(1/(POWER(1+G24,E18))),4)</f>
        <v>0</v>
      </c>
      <c r="H18" s="3028" t="s">
        <v>3243</v>
      </c>
      <c r="I18" s="3032">
        <f>ROUND(1-(1/(POWER(1+G24,J24))),4)</f>
        <v>0</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38"/>
      <c r="B19" s="3039"/>
      <c r="C19" s="3040"/>
      <c r="D19" s="3040" t="s">
        <v>3239</v>
      </c>
      <c r="E19" s="3041"/>
      <c r="F19" s="3042" t="s">
        <v>3242</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551" t="s">
        <v>3244</v>
      </c>
      <c r="B20" s="159" t="s">
        <v>1993</v>
      </c>
      <c r="C20" s="3029" t="e">
        <f>ROUND(IF(F21="与级别开发程度一致",0,(G21-E21)/C21),0)</f>
        <v>#DIV/0!</v>
      </c>
      <c r="D20" s="3044" t="s">
        <v>1997</v>
      </c>
      <c r="E20" s="3045"/>
      <c r="F20" s="3557" t="s">
        <v>1994</v>
      </c>
      <c r="G20" s="3558"/>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552"/>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7">
        <v>44197</v>
      </c>
      <c r="F23" s="1895" t="s">
        <v>2002</v>
      </c>
      <c r="G23" s="718">
        <f>'数据-取费表'!B2</f>
        <v>45792</v>
      </c>
      <c r="H23" s="3046" t="s">
        <v>3246</v>
      </c>
      <c r="I23" s="3047" t="str">
        <f>IF(H23="季度增幅（自定义）",SUMIF(N25:N28,E2,O25:O28),"")</f>
        <v/>
      </c>
      <c r="J23" s="3139" t="s">
        <v>3245</v>
      </c>
      <c r="K23" s="1061"/>
      <c r="L23" s="1896" t="s">
        <v>2003</v>
      </c>
      <c r="M23" s="1240">
        <f>ROUND(SUMIF(地价!B2:G2,E2,地价!B16:G16),0)</f>
        <v>0</v>
      </c>
      <c r="N23" s="1897" t="s">
        <v>2004</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2005</v>
      </c>
      <c r="C24" s="720" t="e">
        <f>ROUND(POWER(1+G24,J24-I24)*(POWER(1+G24,I24)-1)/(POWER(1+G24,J24)-1),4)</f>
        <v>#DIV/0!</v>
      </c>
      <c r="D24" s="1901" t="s">
        <v>2006</v>
      </c>
      <c r="E24" s="1247">
        <f>存贷款利率!E27/100</f>
        <v>4.2500000000000003E-2</v>
      </c>
      <c r="F24" s="1901" t="s">
        <v>1998</v>
      </c>
      <c r="G24" s="724">
        <f>SUMIF(M30:Q30,E2,M33:Q33)</f>
        <v>0</v>
      </c>
      <c r="H24" s="1901" t="s">
        <v>2007</v>
      </c>
      <c r="I24" s="725" t="e">
        <f>SUMIF('数据-取费表'!C6:C15,E2,'数据-取费表'!F6:F15)/COUNTIF('数据-取费表'!C6:C15,E2)</f>
        <v>#DIV/0!</v>
      </c>
      <c r="J24" s="726">
        <f>IF(E2="住宅",70,IF(E2="商业",40,50))</f>
        <v>50</v>
      </c>
      <c r="K24" s="1061"/>
      <c r="L24" s="1902" t="s">
        <v>2008</v>
      </c>
      <c r="M24" s="1241">
        <f>ROUND(SUMPRODUCT((地价!A4:A16=YEAR(G23)&amp;"-"&amp;ROUNDUP(MONTH(G23)/3,0))*(地价!B2:G2=E2)*(地价!B4:G16)),0)</f>
        <v>0</v>
      </c>
      <c r="N24" s="1903" t="s">
        <v>2009</v>
      </c>
      <c r="O24" s="1904" t="s">
        <v>2010</v>
      </c>
      <c r="P24" s="1905" t="s">
        <v>2011</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3325</v>
      </c>
      <c r="C25" s="461">
        <f>IF(B25="容积率修正",IF(G3&lt;10,D26,J26),C27)</f>
        <v>0</v>
      </c>
      <c r="D25" s="1908"/>
      <c r="E25" s="1908"/>
      <c r="F25" s="1908"/>
      <c r="G25" s="1908"/>
      <c r="H25" s="1908"/>
      <c r="I25" s="1908"/>
      <c r="J25" s="1909"/>
      <c r="K25" s="1061"/>
      <c r="L25" s="2552"/>
      <c r="M25" s="2552"/>
      <c r="N25" s="1910"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2013</v>
      </c>
      <c r="B26" s="1911" t="s">
        <v>2014</v>
      </c>
      <c r="C26" s="1911" t="s">
        <v>3247</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3248</v>
      </c>
      <c r="J26" s="374" t="str">
        <f>IF(G3&gt;=10,D115,"——")</f>
        <v>——</v>
      </c>
      <c r="K26" s="1061"/>
      <c r="L26" s="2552"/>
      <c r="M26" s="2552"/>
      <c r="N26" s="1910" t="s">
        <v>2015</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2016</v>
      </c>
      <c r="B27" s="1912" t="s">
        <v>2017</v>
      </c>
      <c r="C27" s="791">
        <f>ROUND(IF(I3&lt;6,SUMPRODUCT((B106:B110=I3)*(C105:N105=G2)*(C106:N110)),SUMIF(C105:N105,G2,C112:N112)),4)</f>
        <v>0</v>
      </c>
      <c r="D27" s="1841"/>
      <c r="E27" s="1841"/>
      <c r="F27" s="1913"/>
      <c r="G27" s="1914"/>
      <c r="H27" s="1915"/>
      <c r="I27" s="1916"/>
      <c r="J27" s="1917"/>
      <c r="K27" s="1056"/>
      <c r="L27" s="1843"/>
      <c r="M27" s="1843"/>
      <c r="N27" s="1910" t="s">
        <v>2018</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2019</v>
      </c>
      <c r="C28" s="716">
        <f>SUMIF(A47:A101,E2,B47:B101)</f>
        <v>0</v>
      </c>
      <c r="D28" s="1893"/>
      <c r="E28" s="1918"/>
      <c r="F28" s="1918"/>
      <c r="G28" s="1918"/>
      <c r="H28" s="1918"/>
      <c r="I28" s="1918"/>
      <c r="J28" s="1919"/>
      <c r="K28" s="1061"/>
      <c r="L28" s="2552"/>
      <c r="M28" s="2552"/>
      <c r="N28" s="1920"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2021</v>
      </c>
      <c r="C29" s="721"/>
      <c r="D29" s="1867"/>
      <c r="E29" s="1867"/>
      <c r="F29" s="1922"/>
      <c r="G29" s="1867"/>
      <c r="H29" s="1867"/>
      <c r="I29" s="1867"/>
      <c r="J29" s="1868"/>
      <c r="K29" s="1056"/>
      <c r="L29" s="1843"/>
      <c r="M29" s="1843"/>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6"/>
      <c r="L30" s="3053" t="s">
        <v>1935</v>
      </c>
      <c r="M30" s="3054" t="s">
        <v>1989</v>
      </c>
      <c r="N30" s="3054" t="s">
        <v>1990</v>
      </c>
      <c r="O30" s="3054" t="s">
        <v>1991</v>
      </c>
      <c r="P30" s="3054" t="s">
        <v>1992</v>
      </c>
      <c r="Q30" s="3057" t="s">
        <v>3252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2024</v>
      </c>
      <c r="C31" s="722" t="e">
        <f>E34+SUM(I37:I42)</f>
        <v>#DIV/0!</v>
      </c>
      <c r="D31" s="1928"/>
      <c r="E31" s="1929"/>
      <c r="F31" s="1930"/>
      <c r="G31" s="1929"/>
      <c r="H31" s="1929"/>
      <c r="I31" s="1929"/>
      <c r="J31" s="1931"/>
      <c r="K31" s="1056"/>
      <c r="L31" s="3055" t="s">
        <v>1995</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6"/>
      <c r="L32" s="3056" t="s">
        <v>1998</v>
      </c>
      <c r="M32" s="2355">
        <f>ROUND($E$24*(1+M31),3)</f>
        <v>5.2999999999999999E-2</v>
      </c>
      <c r="N32" s="2355">
        <f>ROUND($E$24*(1+N31),3)</f>
        <v>5.0999999999999997E-2</v>
      </c>
      <c r="O32" s="2355">
        <f>ROUND($E$24*(1+O31),3)</f>
        <v>4.9000000000000002E-2</v>
      </c>
      <c r="P32" s="2355">
        <f>ROUND($E$24*(1+P31),3)</f>
        <v>4.7E-2</v>
      </c>
      <c r="Q32" s="3058">
        <f>ROUND($E$24*(1+Q31),3)</f>
        <v>4.9000000000000002E-2</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2029</v>
      </c>
      <c r="C33" s="167" t="e">
        <f>ROUND(C5*C22*C23*C24*C25*C28,0)</f>
        <v>#DIV/0!</v>
      </c>
      <c r="D33" s="1939"/>
      <c r="E33" s="727" t="e">
        <f>ROUND(C33*D33/10000,0)</f>
        <v>#DIV/0!</v>
      </c>
      <c r="F33" s="3048" t="s">
        <v>3250</v>
      </c>
      <c r="G33" s="1940"/>
      <c r="H33" s="1940"/>
      <c r="I33" s="1940"/>
      <c r="J33" s="1941"/>
      <c r="K33" s="1056"/>
      <c r="L33" s="3051" t="s">
        <v>3253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2030</v>
      </c>
      <c r="C34" s="179" t="e">
        <f>ROUND(IF(E2="工业",C33*M42,IF(B25="楼层修正",SUM(V2:V16)*M41*10000/D34,C33*M41)),0)</f>
        <v>#DIV/0!</v>
      </c>
      <c r="D34" s="1944"/>
      <c r="E34" s="727" t="e">
        <f>ROUND(IF(B25="楼层修正",SUM(V2:V16)*M40,C34*D34/10000),0)</f>
        <v>#DIV/0!</v>
      </c>
      <c r="F34" s="1945" t="s">
        <v>2031</v>
      </c>
      <c r="G34" s="1946"/>
      <c r="H34" s="1946"/>
      <c r="I34" s="1946"/>
      <c r="J34" s="1947"/>
      <c r="K34" s="1056"/>
      <c r="L34" s="3051" t="s">
        <v>3254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2032</v>
      </c>
      <c r="C35" s="3049" t="s">
        <v>3251</v>
      </c>
      <c r="D35" s="1880"/>
      <c r="E35" s="1950"/>
      <c r="F35" s="1950"/>
      <c r="G35" s="1878" t="s">
        <v>2033</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3255</v>
      </c>
      <c r="L36" s="3140">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55"/>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2"/>
      <c r="K37" s="3059"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56"/>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56"/>
      <c r="B39" s="1883" t="s">
        <v>3249</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2038</v>
      </c>
      <c r="M40" s="1957"/>
      <c r="Z40" s="1057"/>
      <c r="AA40" s="1057"/>
      <c r="AB40" s="1057"/>
      <c r="AC40" s="1057"/>
      <c r="AD40" s="1057"/>
      <c r="AE40" s="1057"/>
      <c r="AF40" s="1057"/>
      <c r="AG40" s="1057"/>
      <c r="AH40" s="1057"/>
      <c r="AI40" s="1057"/>
      <c r="AJ40" s="1057"/>
    </row>
    <row r="41" spans="1:37" s="1056"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0" t="s">
        <v>3257</v>
      </c>
      <c r="M41" s="1958">
        <v>0.25</v>
      </c>
      <c r="Z41" s="1057"/>
      <c r="AA41" s="1057"/>
      <c r="AB41" s="1057"/>
      <c r="AC41" s="1057"/>
      <c r="AD41" s="1057"/>
      <c r="AE41" s="1057"/>
      <c r="AF41" s="1057"/>
      <c r="AG41" s="1057"/>
      <c r="AH41" s="1057"/>
      <c r="AI41" s="1057"/>
      <c r="AJ41" s="1057"/>
    </row>
    <row r="42" spans="1:37" s="1056" customFormat="1" ht="13.5" thickBot="1">
      <c r="A42" s="1942"/>
      <c r="B42" s="1959" t="s">
        <v>2040</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1992</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2121</v>
      </c>
      <c r="C44" s="333" t="e">
        <f>ROUND(POWER(1+E44,H44-G44)*(POWER(1+E44,G44)-1)/(POWER(1+E44,H44)-1),4)</f>
        <v>#DIV/0!</v>
      </c>
      <c r="D44" s="163" t="s">
        <v>1998</v>
      </c>
      <c r="E44" s="1990">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2041</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2042</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2043</v>
      </c>
      <c r="B49" s="1261" t="s">
        <v>2044</v>
      </c>
      <c r="C49" s="1261" t="s">
        <v>2045</v>
      </c>
      <c r="D49" s="1261" t="s">
        <v>2046</v>
      </c>
      <c r="E49" s="701" t="s">
        <v>2047</v>
      </c>
      <c r="F49" s="1970" t="s">
        <v>2048</v>
      </c>
      <c r="G49" s="1261" t="s">
        <v>310</v>
      </c>
      <c r="H49" s="1971" t="s">
        <v>2049</v>
      </c>
      <c r="I49" s="1261"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24.75">
      <c r="A50" s="1969" t="s">
        <v>2051</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2052</v>
      </c>
      <c r="B51" s="1261">
        <f>估价对象房地状况!C18</f>
        <v>0</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3259</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2053</v>
      </c>
      <c r="B53" s="1973" t="s">
        <v>2054</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2055</v>
      </c>
      <c r="B54" s="1261">
        <f>估价对象房地状况!C24</f>
        <v>0</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2056</v>
      </c>
      <c r="B55" s="1974" t="s">
        <v>2057</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2058</v>
      </c>
      <c r="B56" s="1239">
        <f>估价对象房地状况!C21</f>
        <v>0</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2059</v>
      </c>
      <c r="B57" s="1261">
        <f>估价对象房地状况!C22</f>
        <v>0</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2060</v>
      </c>
      <c r="B58" s="1977">
        <f>估价对象房地状况!C20</f>
        <v>0</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2061</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2043</v>
      </c>
      <c r="B60" s="1261"/>
      <c r="C60" s="1261" t="s">
        <v>2045</v>
      </c>
      <c r="D60" s="1261" t="s">
        <v>2046</v>
      </c>
      <c r="E60" s="701" t="s">
        <v>2047</v>
      </c>
      <c r="F60" s="1970" t="s">
        <v>2062</v>
      </c>
      <c r="G60" s="1261" t="s">
        <v>310</v>
      </c>
      <c r="H60" s="1971" t="s">
        <v>2049</v>
      </c>
      <c r="I60" s="1261"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24">
      <c r="A61" s="1969" t="s">
        <v>2063</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2052</v>
      </c>
      <c r="B62" s="1261">
        <f>估价对象房地状况!C18</f>
        <v>0</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3259</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2053</v>
      </c>
      <c r="B64" s="1973" t="s">
        <v>2054</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2055</v>
      </c>
      <c r="B65" s="1261">
        <f>估价对象房地状况!C24</f>
        <v>0</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2056</v>
      </c>
      <c r="B66" s="1974" t="s">
        <v>2057</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2058</v>
      </c>
      <c r="B67" s="1239">
        <f>估价对象房地状况!C21</f>
        <v>0</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2059</v>
      </c>
      <c r="B68" s="1239">
        <f>估价对象房地状况!C22</f>
        <v>0</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2060</v>
      </c>
      <c r="B69" s="1978">
        <f>估价对象房地状况!C20</f>
        <v>0</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2064</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2043</v>
      </c>
      <c r="B71" s="1261"/>
      <c r="C71" s="1261" t="s">
        <v>2045</v>
      </c>
      <c r="D71" s="1261" t="s">
        <v>2046</v>
      </c>
      <c r="E71" s="701" t="s">
        <v>2047</v>
      </c>
      <c r="F71" s="1970" t="s">
        <v>2062</v>
      </c>
      <c r="G71" s="1261" t="s">
        <v>310</v>
      </c>
      <c r="H71" s="1971" t="s">
        <v>2049</v>
      </c>
      <c r="I71" s="1261"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24">
      <c r="A72" s="1969" t="s">
        <v>2065</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2052</v>
      </c>
      <c r="B73" s="1261">
        <f>估价对象房地状况!C18</f>
        <v>0</v>
      </c>
      <c r="C73" s="1886"/>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8" t="s">
        <v>3259</v>
      </c>
      <c r="B74" s="1261">
        <f>估价对象房地状况!C19</f>
        <v>0</v>
      </c>
      <c r="C74" s="1886"/>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2066</v>
      </c>
      <c r="B75" s="1261">
        <f>估价对象房地状况!C24</f>
        <v>0</v>
      </c>
      <c r="C75" s="1886"/>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2058</v>
      </c>
      <c r="B76" s="1239">
        <f>估价对象房地状况!C21</f>
        <v>0</v>
      </c>
      <c r="C76" s="1886"/>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2059</v>
      </c>
      <c r="B77" s="1239">
        <f>估价对象房地状况!C22</f>
        <v>0</v>
      </c>
      <c r="C77" s="1886"/>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2056</v>
      </c>
      <c r="B78" s="1974" t="s">
        <v>2057</v>
      </c>
      <c r="C78" s="1886"/>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2060</v>
      </c>
      <c r="B79" s="1972">
        <f>估价对象房地状况!C20</f>
        <v>0</v>
      </c>
      <c r="C79" s="1886"/>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4"/>
      <c r="AA79" s="1894"/>
      <c r="AG79" s="1058"/>
      <c r="AK79" s="1894"/>
    </row>
    <row r="80" spans="1:37" ht="24.75" thickBot="1">
      <c r="A80" s="1976" t="s">
        <v>2067</v>
      </c>
      <c r="B80" s="1980"/>
      <c r="C80" s="1886"/>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4"/>
      <c r="AA80" s="1894"/>
      <c r="AG80" s="1058"/>
      <c r="AK80" s="1894"/>
    </row>
    <row r="81" spans="1:37" ht="15">
      <c r="A81" s="1966" t="s">
        <v>2068</v>
      </c>
      <c r="B81" s="1967">
        <f>1+E83</f>
        <v>1</v>
      </c>
      <c r="C81" s="699"/>
      <c r="D81" s="699"/>
      <c r="E81" s="700"/>
      <c r="F81" s="1968"/>
      <c r="G81" s="3"/>
      <c r="H81" s="3"/>
      <c r="I81" s="3"/>
      <c r="J81" s="4"/>
      <c r="K81" s="4"/>
      <c r="L81" s="4"/>
      <c r="M81" s="4"/>
      <c r="N81" s="4"/>
      <c r="Z81" s="1844"/>
      <c r="AA81" s="1894"/>
      <c r="AG81" s="1058"/>
      <c r="AK81" s="1894"/>
    </row>
    <row r="82" spans="1:37" ht="24.75">
      <c r="A82" s="1969" t="s">
        <v>2043</v>
      </c>
      <c r="B82" s="1261"/>
      <c r="C82" s="1261" t="s">
        <v>2045</v>
      </c>
      <c r="D82" s="1261" t="s">
        <v>2046</v>
      </c>
      <c r="E82" s="701" t="s">
        <v>2047</v>
      </c>
      <c r="F82" s="1970" t="s">
        <v>2062</v>
      </c>
      <c r="G82" s="1261" t="s">
        <v>310</v>
      </c>
      <c r="H82" s="1971" t="s">
        <v>2049</v>
      </c>
      <c r="I82" s="1261" t="s">
        <v>2050</v>
      </c>
      <c r="J82" s="530" t="s">
        <v>1720</v>
      </c>
      <c r="K82" s="530" t="s">
        <v>1721</v>
      </c>
      <c r="L82" s="530" t="s">
        <v>1722</v>
      </c>
      <c r="M82" s="530" t="s">
        <v>1723</v>
      </c>
      <c r="N82" s="530" t="s">
        <v>1724</v>
      </c>
      <c r="Z82" s="1844"/>
      <c r="AA82" s="1894"/>
      <c r="AG82" s="1058"/>
      <c r="AK82" s="1894"/>
    </row>
    <row r="83" spans="1:37" ht="24">
      <c r="A83" s="1969" t="s">
        <v>2069</v>
      </c>
      <c r="B83" s="1261">
        <f>估价对象房地状况!G15</f>
        <v>0</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14.25">
      <c r="A84" s="1969" t="s">
        <v>2052</v>
      </c>
      <c r="B84" s="1261">
        <f>估价对象房地状况!G16</f>
        <v>0</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36">
      <c r="A85" s="3068" t="s">
        <v>3260</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4.25">
      <c r="A86" s="1969" t="s">
        <v>2066</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4">
      <c r="A87" s="1969" t="s">
        <v>2058</v>
      </c>
      <c r="B87" s="1239">
        <f>估价对象房地状况!G19</f>
        <v>0</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4">
      <c r="A88" s="1969" t="s">
        <v>2059</v>
      </c>
      <c r="B88" s="1239">
        <f>估价对象房地状况!G20</f>
        <v>0</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9" t="s">
        <v>2056</v>
      </c>
      <c r="B89" s="1974" t="s">
        <v>2070</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15" thickBot="1">
      <c r="A90" s="1976" t="s">
        <v>2071</v>
      </c>
      <c r="B90" s="1981">
        <f>估价对象房地状况!G18</f>
        <v>0</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2602</v>
      </c>
      <c r="B91" s="3077">
        <f>1+E93</f>
        <v>1</v>
      </c>
      <c r="C91" s="3070"/>
      <c r="D91" s="3071"/>
      <c r="E91" s="1674"/>
      <c r="F91" s="1674"/>
      <c r="G91" s="3072"/>
      <c r="H91" s="3073"/>
      <c r="I91" s="3074"/>
      <c r="J91" s="3075"/>
      <c r="K91" s="3075"/>
      <c r="L91" s="3075"/>
      <c r="M91" s="3075"/>
      <c r="N91" s="3075"/>
    </row>
    <row r="92" spans="1:37" ht="24.75">
      <c r="A92" s="3078" t="s">
        <v>3261</v>
      </c>
      <c r="B92" s="2309"/>
      <c r="C92" s="2309" t="s">
        <v>3270</v>
      </c>
      <c r="D92" s="2309" t="s">
        <v>3271</v>
      </c>
      <c r="E92" s="3050" t="s">
        <v>3272</v>
      </c>
      <c r="F92" s="3080" t="s">
        <v>3273</v>
      </c>
      <c r="G92" s="2309" t="s">
        <v>3274</v>
      </c>
      <c r="H92" s="3087" t="s">
        <v>3277</v>
      </c>
      <c r="I92" s="2309" t="s">
        <v>3278</v>
      </c>
      <c r="J92" s="2149" t="s">
        <v>3279</v>
      </c>
      <c r="K92" s="2149" t="s">
        <v>3280</v>
      </c>
      <c r="L92" s="2149" t="s">
        <v>3281</v>
      </c>
      <c r="M92" s="2149" t="s">
        <v>3282</v>
      </c>
      <c r="N92" s="2149" t="s">
        <v>3283</v>
      </c>
    </row>
    <row r="93" spans="1:37" ht="24">
      <c r="A93" s="3068" t="s">
        <v>3262</v>
      </c>
      <c r="B93" s="1220"/>
      <c r="C93" s="1886"/>
      <c r="D93" s="2309">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14.25">
      <c r="A94" s="3078" t="s">
        <v>3263</v>
      </c>
      <c r="B94" s="3069">
        <f>估价对象房地状况!C18</f>
        <v>0</v>
      </c>
      <c r="C94" s="1886"/>
      <c r="D94" s="2309">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3259</v>
      </c>
      <c r="B95" s="3069">
        <f>估价对象房地状况!C19</f>
        <v>0</v>
      </c>
      <c r="C95" s="1886"/>
      <c r="D95" s="2309">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3264</v>
      </c>
      <c r="B96" s="3084" t="s">
        <v>3275</v>
      </c>
      <c r="C96" s="1886"/>
      <c r="D96" s="2309">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3265</v>
      </c>
      <c r="B97" s="3069">
        <f>估价对象房地状况!C24</f>
        <v>0</v>
      </c>
      <c r="C97" s="1886"/>
      <c r="D97" s="2309">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3266</v>
      </c>
      <c r="B98" s="3085" t="s">
        <v>3276</v>
      </c>
      <c r="C98" s="1886"/>
      <c r="D98" s="2309">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4">
      <c r="A99" s="3078" t="s">
        <v>3267</v>
      </c>
      <c r="B99" s="3069">
        <f>估价对象房地状况!C21</f>
        <v>0</v>
      </c>
      <c r="C99" s="1886"/>
      <c r="D99" s="2309">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4">
      <c r="A100" s="3078" t="s">
        <v>3268</v>
      </c>
      <c r="B100" s="3069">
        <f>估价对象房地状况!C22</f>
        <v>0</v>
      </c>
      <c r="C100" s="1886"/>
      <c r="D100" s="2309">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4.75" thickBot="1">
      <c r="A101" s="3079" t="s">
        <v>3269</v>
      </c>
      <c r="B101" s="3086">
        <f>估价对象房地状况!C20</f>
        <v>0</v>
      </c>
      <c r="C101" s="1886"/>
      <c r="D101" s="2309">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553" t="s">
        <v>3284</v>
      </c>
      <c r="B103" s="3553"/>
      <c r="C103" s="3553"/>
      <c r="D103" s="3553"/>
      <c r="E103" s="3553"/>
      <c r="F103" s="3553"/>
      <c r="G103" s="3553"/>
      <c r="H103" s="3553"/>
      <c r="I103" s="3553"/>
      <c r="J103" s="3553"/>
      <c r="K103" s="1666"/>
      <c r="L103" s="1666"/>
      <c r="M103" s="1666"/>
      <c r="N103" s="1666"/>
    </row>
    <row r="104" spans="1:14">
      <c r="A104" s="3554" t="s">
        <v>3285</v>
      </c>
      <c r="B104" s="3554" t="s">
        <v>3286</v>
      </c>
      <c r="C104" s="3088" t="s">
        <v>3287</v>
      </c>
      <c r="D104" s="3089"/>
      <c r="E104" s="3089"/>
      <c r="F104" s="3089"/>
      <c r="G104" s="3089"/>
      <c r="H104" s="3089"/>
      <c r="I104" s="3089"/>
      <c r="J104" s="3090"/>
      <c r="K104" s="3091"/>
      <c r="L104" s="3091"/>
      <c r="M104" s="3091"/>
      <c r="N104" s="3091"/>
    </row>
    <row r="105" spans="1:14">
      <c r="A105" s="3554"/>
      <c r="B105" s="3554"/>
      <c r="C105" s="3092" t="s">
        <v>3288</v>
      </c>
      <c r="D105" s="3092" t="s">
        <v>3289</v>
      </c>
      <c r="E105" s="3092" t="s">
        <v>3290</v>
      </c>
      <c r="F105" s="3092" t="s">
        <v>3291</v>
      </c>
      <c r="G105" s="3092" t="s">
        <v>3292</v>
      </c>
      <c r="H105" s="3092" t="s">
        <v>3293</v>
      </c>
      <c r="I105" s="3092" t="s">
        <v>3294</v>
      </c>
      <c r="J105" s="3092" t="s">
        <v>3295</v>
      </c>
      <c r="K105" s="3092" t="s">
        <v>3296</v>
      </c>
      <c r="L105" s="3092" t="s">
        <v>3297</v>
      </c>
      <c r="M105" s="3092" t="s">
        <v>3298</v>
      </c>
      <c r="N105" s="3092" t="s">
        <v>3299</v>
      </c>
    </row>
    <row r="106" spans="1:14">
      <c r="A106" s="3540" t="s">
        <v>3300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4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4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4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4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41"/>
      <c r="B111" s="3092" t="s">
        <v>3258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4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43" t="s">
        <v>3301</v>
      </c>
      <c r="B113" s="3543"/>
      <c r="C113" s="3543"/>
      <c r="D113" s="3543"/>
      <c r="E113" s="3543"/>
      <c r="F113" s="3543"/>
      <c r="G113" s="3543"/>
      <c r="H113" s="3543"/>
      <c r="I113" s="3543"/>
      <c r="J113" s="3543"/>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3302</v>
      </c>
      <c r="B116" s="3112">
        <f>G3</f>
        <v>0</v>
      </c>
      <c r="C116" s="3097" t="s">
        <v>3303</v>
      </c>
      <c r="D116" s="3098">
        <f>SUMPRODUCT((A118:A122=F116)*(B117:M117=H116)*B118:M122)</f>
        <v>0</v>
      </c>
      <c r="E116" s="162" t="s">
        <v>3304</v>
      </c>
      <c r="F116" s="3099">
        <f>E2</f>
        <v>0</v>
      </c>
      <c r="G116" s="162" t="s">
        <v>3305</v>
      </c>
      <c r="H116" s="3099">
        <f>G2</f>
        <v>0</v>
      </c>
      <c r="I116" s="162"/>
      <c r="J116" s="3100"/>
      <c r="K116" s="3100"/>
      <c r="L116" s="3100"/>
      <c r="M116" s="3100"/>
      <c r="N116" s="3095"/>
    </row>
    <row r="117" spans="1:14">
      <c r="A117" s="3101"/>
      <c r="B117" s="3102" t="s">
        <v>3306</v>
      </c>
      <c r="C117" s="3102" t="s">
        <v>3307</v>
      </c>
      <c r="D117" s="3102" t="s">
        <v>3308</v>
      </c>
      <c r="E117" s="3103" t="s">
        <v>3309</v>
      </c>
      <c r="F117" s="3103" t="s">
        <v>3310</v>
      </c>
      <c r="G117" s="3103" t="s">
        <v>3311</v>
      </c>
      <c r="H117" s="3104" t="s">
        <v>3312</v>
      </c>
      <c r="I117" s="3104" t="s">
        <v>3313</v>
      </c>
      <c r="J117" s="3105" t="s">
        <v>3314</v>
      </c>
      <c r="K117" s="3105" t="s">
        <v>3315</v>
      </c>
      <c r="L117" s="3105" t="s">
        <v>3316</v>
      </c>
      <c r="M117" s="3106" t="s">
        <v>3317</v>
      </c>
      <c r="N117" s="3095"/>
    </row>
    <row r="118" spans="1:14">
      <c r="A118" s="3055" t="s">
        <v>3318</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3319</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3320</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3321</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M27" sqref="M2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c r="E1" s="3122"/>
      <c r="F1" s="1734"/>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1462</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1463</v>
      </c>
      <c r="B3" s="536">
        <f>IF(C2="——",C49,ROUND(B2*10000/D3,0))</f>
        <v>0</v>
      </c>
      <c r="C3" s="344" t="s">
        <v>1767</v>
      </c>
      <c r="D3" s="343">
        <f>IF(D1="",'数据-汇总表'!E3,SUMIF('数据-汇总表'!$C19:$C33,D1,'数据-汇总表'!$E19:$E33))</f>
        <v>251875.15999999997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93" t="s">
        <v>1770</v>
      </c>
      <c r="S4" s="3494"/>
      <c r="T4" s="3493" t="s">
        <v>1771</v>
      </c>
      <c r="U4" s="3494"/>
      <c r="V4" s="3469" t="s">
        <v>1772</v>
      </c>
      <c r="W4" s="3469"/>
      <c r="X4" s="1264"/>
      <c r="Y4" s="3493" t="s">
        <v>1774</v>
      </c>
      <c r="Z4" s="3494"/>
      <c r="AA4" s="3480" t="s">
        <v>1770</v>
      </c>
      <c r="AB4" s="3469" t="s">
        <v>1771</v>
      </c>
      <c r="AC4" s="3480" t="s">
        <v>1772</v>
      </c>
    </row>
    <row r="5" spans="1:29" ht="15">
      <c r="A5" s="348"/>
      <c r="B5" s="349"/>
      <c r="C5" s="3501" t="s">
        <v>1672</v>
      </c>
      <c r="D5" s="3502"/>
      <c r="E5" s="3508" t="s">
        <v>1673</v>
      </c>
      <c r="F5" s="3509"/>
      <c r="G5" s="3501" t="s">
        <v>1674</v>
      </c>
      <c r="H5" s="3502"/>
      <c r="I5" s="3501" t="s">
        <v>1675</v>
      </c>
      <c r="J5" s="3502"/>
      <c r="K5" s="537"/>
      <c r="L5" s="2486"/>
      <c r="M5" s="2487"/>
      <c r="N5" s="2487"/>
      <c r="O5" s="2487"/>
      <c r="P5" s="3489"/>
      <c r="Q5" s="3490"/>
      <c r="R5" s="3495"/>
      <c r="S5" s="3496"/>
      <c r="T5" s="3495"/>
      <c r="U5" s="3496"/>
      <c r="V5" s="3469"/>
      <c r="W5" s="3469"/>
      <c r="X5" s="1264"/>
      <c r="Y5" s="3495"/>
      <c r="Z5" s="3496"/>
      <c r="AA5" s="3481"/>
      <c r="AB5" s="3469"/>
      <c r="AC5" s="3481"/>
    </row>
    <row r="6" spans="1:29" ht="15.75" thickBot="1">
      <c r="A6" s="350"/>
      <c r="B6" s="351"/>
      <c r="C6" s="3499" t="s">
        <v>1676</v>
      </c>
      <c r="D6" s="3500"/>
      <c r="E6" s="3506" t="s">
        <v>1676</v>
      </c>
      <c r="F6" s="3507"/>
      <c r="G6" s="3499" t="s">
        <v>1676</v>
      </c>
      <c r="H6" s="3500"/>
      <c r="I6" s="3499" t="s">
        <v>1676</v>
      </c>
      <c r="J6" s="3500"/>
      <c r="K6" s="537" t="s">
        <v>1677</v>
      </c>
      <c r="L6" s="2486"/>
      <c r="M6" s="2487"/>
      <c r="N6" s="2487"/>
      <c r="O6" s="2487"/>
      <c r="P6" s="3491"/>
      <c r="Q6" s="3492"/>
      <c r="R6" s="3495"/>
      <c r="S6" s="3496"/>
      <c r="T6" s="3497"/>
      <c r="U6" s="3498"/>
      <c r="V6" s="3469"/>
      <c r="W6" s="3469"/>
      <c r="X6" s="1264"/>
      <c r="Y6" s="3497"/>
      <c r="Z6" s="3498"/>
      <c r="AA6" s="3482"/>
      <c r="AB6" s="3469"/>
      <c r="AC6" s="3482"/>
    </row>
    <row r="7" spans="1:29" s="102" customFormat="1" ht="15.75" thickBot="1">
      <c r="A7" s="352" t="s">
        <v>1678</v>
      </c>
      <c r="B7" s="353"/>
      <c r="C7" s="354">
        <f>'数据-取费表'!B2</f>
        <v>45792</v>
      </c>
      <c r="D7" s="355">
        <v>100</v>
      </c>
      <c r="E7" s="356"/>
      <c r="F7" s="357">
        <f>SUMIF(58:58,YEAR(E7)&amp;"-"&amp;MONTH(E7),59:59)</f>
        <v>0</v>
      </c>
      <c r="G7" s="356"/>
      <c r="H7" s="355">
        <f>SUMIF(58:58,YEAR(G7)&amp;"-"&amp;MONTH(G7),59:59)</f>
        <v>0</v>
      </c>
      <c r="I7" s="356"/>
      <c r="J7" s="355">
        <f>SUMIF(58:58,YEAR(I7)&amp;"-"&amp;MONTH(I7),59:59)</f>
        <v>0</v>
      </c>
      <c r="K7" s="38"/>
      <c r="L7" s="2488"/>
      <c r="M7" s="2439"/>
      <c r="N7" s="2439"/>
      <c r="O7" s="2439"/>
      <c r="P7" s="3503" t="s">
        <v>1679</v>
      </c>
      <c r="Q7" s="3505"/>
      <c r="R7" s="664" t="s">
        <v>14</v>
      </c>
      <c r="S7" s="665">
        <f t="shared" ref="S7:S15" si="0">F7</f>
        <v>0</v>
      </c>
      <c r="T7" s="664" t="s">
        <v>14</v>
      </c>
      <c r="U7" s="665">
        <f t="shared" ref="U7:U15" si="1">H7</f>
        <v>0</v>
      </c>
      <c r="V7" s="664" t="s">
        <v>14</v>
      </c>
      <c r="W7" s="665">
        <f t="shared" ref="W7:W15" si="2">J7</f>
        <v>0</v>
      </c>
      <c r="X7" s="666"/>
      <c r="Y7" s="3503" t="s">
        <v>1679</v>
      </c>
      <c r="Z7" s="3504"/>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503" t="s">
        <v>1682</v>
      </c>
      <c r="Q8" s="3504"/>
      <c r="R8" s="664" t="s">
        <v>14</v>
      </c>
      <c r="S8" s="665">
        <f t="shared" si="0"/>
        <v>100</v>
      </c>
      <c r="T8" s="664" t="s">
        <v>14</v>
      </c>
      <c r="U8" s="665">
        <f t="shared" si="1"/>
        <v>100</v>
      </c>
      <c r="V8" s="664" t="s">
        <v>14</v>
      </c>
      <c r="W8" s="665">
        <f t="shared" si="2"/>
        <v>100</v>
      </c>
      <c r="X8" s="666"/>
      <c r="Y8" s="3503" t="s">
        <v>1682</v>
      </c>
      <c r="Z8" s="3504"/>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79" t="s">
        <v>1685</v>
      </c>
      <c r="Q9" s="530" t="str">
        <f t="shared" ref="Q9:Q15" si="6">B9</f>
        <v>用途</v>
      </c>
      <c r="R9" s="664" t="s">
        <v>14</v>
      </c>
      <c r="S9" s="665">
        <f t="shared" si="0"/>
        <v>100</v>
      </c>
      <c r="T9" s="664" t="s">
        <v>14</v>
      </c>
      <c r="U9" s="665">
        <f t="shared" si="1"/>
        <v>100</v>
      </c>
      <c r="V9" s="664" t="s">
        <v>14</v>
      </c>
      <c r="W9" s="665">
        <f t="shared" si="2"/>
        <v>100</v>
      </c>
      <c r="X9" s="666"/>
      <c r="Y9" s="3343" t="s">
        <v>1686</v>
      </c>
      <c r="Z9" s="50" t="str">
        <f t="shared" ref="Z9:Z15" si="7">Q9</f>
        <v>用途</v>
      </c>
      <c r="AA9" s="50">
        <f t="shared" si="3"/>
        <v>1</v>
      </c>
      <c r="AB9" s="50">
        <f t="shared" si="4"/>
        <v>1</v>
      </c>
      <c r="AC9" s="50">
        <f t="shared" si="5"/>
        <v>1</v>
      </c>
    </row>
    <row r="10" spans="1:29" s="366" customFormat="1" ht="27">
      <c r="A10" s="363"/>
      <c r="B10" s="364" t="s">
        <v>1687</v>
      </c>
      <c r="C10" s="3130"/>
      <c r="D10" s="119">
        <v>100</v>
      </c>
      <c r="E10" s="3131"/>
      <c r="F10" s="364">
        <f>SUMIF(65:65,E10,66:66)-SUMIF(65:65,C10,66:66)+100</f>
        <v>100</v>
      </c>
      <c r="G10" s="3130"/>
      <c r="H10" s="119">
        <f>SUMIF(65:65,G10,66:66)-SUMIF(65:65,C10,66:66)+100</f>
        <v>100</v>
      </c>
      <c r="I10" s="3130"/>
      <c r="J10" s="119">
        <f>SUMIF(65:65,I10,66:66)-SUMIF(65:65,C10,66:66)+100</f>
        <v>100</v>
      </c>
      <c r="K10" s="38"/>
      <c r="L10" s="2489"/>
      <c r="M10" s="2490"/>
      <c r="N10" s="2490"/>
      <c r="O10" s="2490"/>
      <c r="P10" s="3479"/>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79"/>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79"/>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79"/>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79"/>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77" t="s">
        <v>1690</v>
      </c>
      <c r="Q15" s="1262" t="str">
        <f t="shared" si="6"/>
        <v>商业繁华度</v>
      </c>
      <c r="R15" s="667" t="s">
        <v>14</v>
      </c>
      <c r="S15" s="668">
        <f t="shared" si="0"/>
        <v>100</v>
      </c>
      <c r="T15" s="667" t="s">
        <v>14</v>
      </c>
      <c r="U15" s="668">
        <f t="shared" si="1"/>
        <v>100</v>
      </c>
      <c r="V15" s="667" t="s">
        <v>14</v>
      </c>
      <c r="W15" s="668">
        <f t="shared" si="2"/>
        <v>100</v>
      </c>
      <c r="X15" s="1264"/>
      <c r="Y15" s="3470" t="s">
        <v>1690</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78"/>
      <c r="Q16" s="1262"/>
      <c r="R16" s="667"/>
      <c r="S16" s="668"/>
      <c r="T16" s="667"/>
      <c r="U16" s="668"/>
      <c r="V16" s="667"/>
      <c r="W16" s="668"/>
      <c r="X16" s="1264"/>
      <c r="Y16" s="3471"/>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78"/>
      <c r="Q17" s="1262" t="str">
        <f>B17</f>
        <v>交通便捷度</v>
      </c>
      <c r="R17" s="667" t="s">
        <v>14</v>
      </c>
      <c r="S17" s="668">
        <f>F17</f>
        <v>100</v>
      </c>
      <c r="T17" s="667" t="s">
        <v>14</v>
      </c>
      <c r="U17" s="668">
        <f>H17</f>
        <v>100</v>
      </c>
      <c r="V17" s="667" t="s">
        <v>14</v>
      </c>
      <c r="W17" s="668">
        <f>J17</f>
        <v>100</v>
      </c>
      <c r="X17" s="1264"/>
      <c r="Y17" s="34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78"/>
      <c r="Q18" s="1262"/>
      <c r="R18" s="667"/>
      <c r="S18" s="668"/>
      <c r="T18" s="667"/>
      <c r="U18" s="668"/>
      <c r="V18" s="667"/>
      <c r="W18" s="668"/>
      <c r="X18" s="1264"/>
      <c r="Y18" s="3471"/>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78"/>
      <c r="Q19" s="1262" t="str">
        <f>B19</f>
        <v>公共配套设施</v>
      </c>
      <c r="R19" s="667" t="s">
        <v>14</v>
      </c>
      <c r="S19" s="668">
        <f>F19</f>
        <v>100</v>
      </c>
      <c r="T19" s="667" t="s">
        <v>14</v>
      </c>
      <c r="U19" s="668">
        <f>H19</f>
        <v>100</v>
      </c>
      <c r="V19" s="667" t="s">
        <v>14</v>
      </c>
      <c r="W19" s="668">
        <f>J19</f>
        <v>100</v>
      </c>
      <c r="X19" s="1264"/>
      <c r="Y19" s="34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78"/>
      <c r="Q20" s="1262"/>
      <c r="R20" s="667"/>
      <c r="S20" s="668"/>
      <c r="T20" s="667"/>
      <c r="U20" s="668"/>
      <c r="V20" s="667"/>
      <c r="W20" s="668"/>
      <c r="X20" s="1264"/>
      <c r="Y20" s="3471"/>
      <c r="Z20" s="1263"/>
      <c r="AA20" s="1263">
        <v>1</v>
      </c>
      <c r="AB20" s="1263">
        <v>1</v>
      </c>
      <c r="AC20" s="1263">
        <v>1</v>
      </c>
    </row>
    <row r="21" spans="1:29" ht="15">
      <c r="A21" s="367"/>
      <c r="B21" s="586"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78"/>
      <c r="Q21" s="1262" t="str">
        <f>B21</f>
        <v>基础设施水平</v>
      </c>
      <c r="R21" s="667" t="s">
        <v>14</v>
      </c>
      <c r="S21" s="668">
        <f>F21</f>
        <v>100</v>
      </c>
      <c r="T21" s="667" t="s">
        <v>14</v>
      </c>
      <c r="U21" s="668">
        <f>H21</f>
        <v>100</v>
      </c>
      <c r="V21" s="667" t="s">
        <v>14</v>
      </c>
      <c r="W21" s="668">
        <f>J21</f>
        <v>100</v>
      </c>
      <c r="X21" s="1264"/>
      <c r="Y21" s="34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478"/>
      <c r="Q22" s="1262"/>
      <c r="R22" s="667"/>
      <c r="S22" s="668"/>
      <c r="T22" s="667"/>
      <c r="U22" s="668"/>
      <c r="V22" s="667"/>
      <c r="W22" s="668"/>
      <c r="X22" s="1264"/>
      <c r="Y22" s="3471"/>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78"/>
      <c r="Q23" s="1262" t="str">
        <f>B23</f>
        <v>自然及人文环境</v>
      </c>
      <c r="R23" s="667" t="s">
        <v>14</v>
      </c>
      <c r="S23" s="668">
        <f>F23</f>
        <v>100</v>
      </c>
      <c r="T23" s="667" t="s">
        <v>14</v>
      </c>
      <c r="U23" s="668">
        <f>H23</f>
        <v>100</v>
      </c>
      <c r="V23" s="667" t="s">
        <v>14</v>
      </c>
      <c r="W23" s="668">
        <f>J23</f>
        <v>100</v>
      </c>
      <c r="X23" s="1264"/>
      <c r="Y23" s="347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78"/>
      <c r="Q24" s="1262"/>
      <c r="R24" s="667"/>
      <c r="S24" s="668"/>
      <c r="T24" s="667"/>
      <c r="U24" s="668"/>
      <c r="V24" s="667"/>
      <c r="W24" s="668"/>
      <c r="X24" s="1264"/>
      <c r="Y24" s="3471"/>
      <c r="Z24" s="1263"/>
      <c r="AA24" s="1263">
        <v>1</v>
      </c>
      <c r="AB24" s="1263">
        <v>1</v>
      </c>
      <c r="AC24" s="1263">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78"/>
      <c r="Q25" s="1262" t="str">
        <f t="shared" ref="Q25:Q46" si="11">B25</f>
        <v>临街状况</v>
      </c>
      <c r="R25" s="667" t="s">
        <v>14</v>
      </c>
      <c r="S25" s="668">
        <f>F25</f>
        <v>100</v>
      </c>
      <c r="T25" s="667" t="s">
        <v>14</v>
      </c>
      <c r="U25" s="668">
        <f>H25</f>
        <v>100</v>
      </c>
      <c r="V25" s="667" t="s">
        <v>14</v>
      </c>
      <c r="W25" s="668">
        <f>J25</f>
        <v>100</v>
      </c>
      <c r="X25" s="1264"/>
      <c r="Y25" s="3471"/>
      <c r="Z25" s="1263" t="str">
        <f>Q25</f>
        <v>临街状况</v>
      </c>
      <c r="AA25" s="1263">
        <f t="shared" si="3"/>
        <v>1</v>
      </c>
      <c r="AB25" s="1263">
        <f t="shared" si="4"/>
        <v>1</v>
      </c>
      <c r="AC25" s="1263">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78"/>
      <c r="Q26" s="1262" t="str">
        <f t="shared" si="11"/>
        <v>平面位置/可视性</v>
      </c>
      <c r="R26" s="667" t="s">
        <v>14</v>
      </c>
      <c r="S26" s="668">
        <f>F26</f>
        <v>100</v>
      </c>
      <c r="T26" s="667" t="s">
        <v>14</v>
      </c>
      <c r="U26" s="668">
        <f>H26</f>
        <v>100</v>
      </c>
      <c r="V26" s="667" t="s">
        <v>14</v>
      </c>
      <c r="W26" s="668">
        <f>J26</f>
        <v>100</v>
      </c>
      <c r="X26" s="1264"/>
      <c r="Y26" s="3471"/>
      <c r="Z26" s="1263" t="str">
        <f>Q26</f>
        <v>平面位置/可视性</v>
      </c>
      <c r="AA26" s="1263">
        <f t="shared" si="3"/>
        <v>1</v>
      </c>
      <c r="AB26" s="1263">
        <f t="shared" si="4"/>
        <v>1</v>
      </c>
      <c r="AC26" s="1263">
        <f t="shared" si="5"/>
        <v>1</v>
      </c>
    </row>
    <row r="27" spans="1:29" s="102" customFormat="1" ht="15">
      <c r="A27" s="370"/>
      <c r="B27" s="390" t="s">
        <v>1781</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78"/>
      <c r="Q27" s="530" t="str">
        <f t="shared" si="11"/>
        <v>人流量</v>
      </c>
      <c r="R27" s="664" t="s">
        <v>14</v>
      </c>
      <c r="S27" s="665">
        <f>F27</f>
        <v>100</v>
      </c>
      <c r="T27" s="664" t="s">
        <v>14</v>
      </c>
      <c r="U27" s="665">
        <f>H27</f>
        <v>100</v>
      </c>
      <c r="V27" s="664" t="s">
        <v>14</v>
      </c>
      <c r="W27" s="665">
        <f>J27</f>
        <v>100</v>
      </c>
      <c r="X27" s="666"/>
      <c r="Y27" s="3471"/>
      <c r="Z27" s="50" t="str">
        <f>Q27</f>
        <v>人流量</v>
      </c>
      <c r="AA27" s="1263">
        <f>D27/F27</f>
        <v>1</v>
      </c>
      <c r="AB27" s="1263">
        <f>D27/H27</f>
        <v>1</v>
      </c>
      <c r="AC27" s="1263">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78"/>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7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78"/>
      <c r="Q29" s="1262">
        <f t="shared" si="11"/>
        <v>111</v>
      </c>
      <c r="R29" s="667" t="s">
        <v>14</v>
      </c>
      <c r="S29" s="668">
        <f t="shared" si="12"/>
        <v>100</v>
      </c>
      <c r="T29" s="667" t="s">
        <v>14</v>
      </c>
      <c r="U29" s="668">
        <f t="shared" si="13"/>
        <v>100</v>
      </c>
      <c r="V29" s="667" t="s">
        <v>14</v>
      </c>
      <c r="W29" s="668">
        <f t="shared" si="14"/>
        <v>100</v>
      </c>
      <c r="X29" s="1264"/>
      <c r="Y29" s="347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78"/>
      <c r="Q30" s="1262">
        <f t="shared" si="11"/>
        <v>111</v>
      </c>
      <c r="R30" s="667" t="s">
        <v>14</v>
      </c>
      <c r="S30" s="668">
        <f t="shared" si="12"/>
        <v>100</v>
      </c>
      <c r="T30" s="667" t="s">
        <v>14</v>
      </c>
      <c r="U30" s="668">
        <f t="shared" si="13"/>
        <v>100</v>
      </c>
      <c r="V30" s="667" t="s">
        <v>14</v>
      </c>
      <c r="W30" s="668">
        <f t="shared" si="14"/>
        <v>100</v>
      </c>
      <c r="X30" s="1264"/>
      <c r="Y30" s="347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78"/>
      <c r="Q31" s="1262">
        <f t="shared" si="11"/>
        <v>111</v>
      </c>
      <c r="R31" s="667" t="s">
        <v>14</v>
      </c>
      <c r="S31" s="668">
        <f t="shared" si="12"/>
        <v>100</v>
      </c>
      <c r="T31" s="667" t="s">
        <v>14</v>
      </c>
      <c r="U31" s="668">
        <f t="shared" si="13"/>
        <v>100</v>
      </c>
      <c r="V31" s="667" t="s">
        <v>14</v>
      </c>
      <c r="W31" s="668">
        <f t="shared" si="14"/>
        <v>100</v>
      </c>
      <c r="X31" s="1264"/>
      <c r="Y31" s="3471"/>
      <c r="Z31" s="1263">
        <f t="shared" si="15"/>
        <v>111</v>
      </c>
      <c r="AA31" s="1263">
        <f t="shared" si="3"/>
        <v>1</v>
      </c>
      <c r="AB31" s="1263">
        <f t="shared" si="4"/>
        <v>1</v>
      </c>
      <c r="AC31" s="1263">
        <f t="shared" si="5"/>
        <v>1</v>
      </c>
    </row>
    <row r="32" spans="1:29" ht="15">
      <c r="A32" s="379" t="s">
        <v>1693</v>
      </c>
      <c r="B32" s="60" t="s">
        <v>1783</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72" t="s">
        <v>1695</v>
      </c>
      <c r="Q32" s="1262" t="str">
        <f t="shared" si="11"/>
        <v>商业类型</v>
      </c>
      <c r="R32" s="667" t="s">
        <v>14</v>
      </c>
      <c r="S32" s="668">
        <f t="shared" si="12"/>
        <v>100</v>
      </c>
      <c r="T32" s="667" t="s">
        <v>14</v>
      </c>
      <c r="U32" s="668">
        <f t="shared" si="13"/>
        <v>100</v>
      </c>
      <c r="V32" s="667" t="s">
        <v>14</v>
      </c>
      <c r="W32" s="668">
        <f t="shared" si="14"/>
        <v>100</v>
      </c>
      <c r="X32" s="1264"/>
      <c r="Y32" s="3475" t="s">
        <v>1695</v>
      </c>
      <c r="Z32" s="1263" t="str">
        <f t="shared" si="15"/>
        <v>商业类型</v>
      </c>
      <c r="AA32" s="1263">
        <f t="shared" si="3"/>
        <v>1</v>
      </c>
      <c r="AB32" s="1263">
        <f t="shared" si="4"/>
        <v>1</v>
      </c>
      <c r="AC32" s="1263">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73"/>
      <c r="Q33" s="531" t="str">
        <f t="shared" si="11"/>
        <v>项目建筑规模</v>
      </c>
      <c r="R33" s="669" t="s">
        <v>14</v>
      </c>
      <c r="S33" s="670" t="e">
        <f t="shared" si="12"/>
        <v>#N/A</v>
      </c>
      <c r="T33" s="669" t="s">
        <v>14</v>
      </c>
      <c r="U33" s="670" t="e">
        <f t="shared" si="13"/>
        <v>#N/A</v>
      </c>
      <c r="V33" s="669" t="s">
        <v>14</v>
      </c>
      <c r="W33" s="670" t="e">
        <f t="shared" si="14"/>
        <v>#N/A</v>
      </c>
      <c r="X33" s="671"/>
      <c r="Y33" s="3475"/>
      <c r="Z33" s="672" t="str">
        <f t="shared" si="15"/>
        <v>项目建筑规模</v>
      </c>
      <c r="AA33" s="1263" t="e">
        <f t="shared" si="3"/>
        <v>#N/A</v>
      </c>
      <c r="AB33" s="1263" t="e">
        <f t="shared" si="4"/>
        <v>#N/A</v>
      </c>
      <c r="AC33" s="1263"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73"/>
      <c r="Q34" s="1262" t="str">
        <f t="shared" si="11"/>
        <v>建筑结构</v>
      </c>
      <c r="R34" s="667" t="s">
        <v>14</v>
      </c>
      <c r="S34" s="668">
        <f t="shared" si="12"/>
        <v>100</v>
      </c>
      <c r="T34" s="667" t="s">
        <v>14</v>
      </c>
      <c r="U34" s="668">
        <f t="shared" si="13"/>
        <v>100</v>
      </c>
      <c r="V34" s="667" t="s">
        <v>14</v>
      </c>
      <c r="W34" s="668">
        <f t="shared" si="14"/>
        <v>100</v>
      </c>
      <c r="X34" s="1264"/>
      <c r="Y34" s="3475"/>
      <c r="Z34" s="1263" t="str">
        <f t="shared" si="15"/>
        <v>建筑结构</v>
      </c>
      <c r="AA34" s="1263">
        <f t="shared" si="3"/>
        <v>1</v>
      </c>
      <c r="AB34" s="1263">
        <f t="shared" si="4"/>
        <v>1</v>
      </c>
      <c r="AC34" s="1263">
        <f t="shared" si="5"/>
        <v>1</v>
      </c>
    </row>
    <row r="35" spans="1:29" ht="15">
      <c r="A35" s="409"/>
      <c r="B35" s="364" t="s">
        <v>1784</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73"/>
      <c r="Q35" s="1262" t="str">
        <f t="shared" si="11"/>
        <v>公共部分装修</v>
      </c>
      <c r="R35" s="667" t="s">
        <v>14</v>
      </c>
      <c r="S35" s="668">
        <f t="shared" si="12"/>
        <v>100</v>
      </c>
      <c r="T35" s="667" t="s">
        <v>14</v>
      </c>
      <c r="U35" s="668">
        <f t="shared" si="13"/>
        <v>100</v>
      </c>
      <c r="V35" s="667" t="s">
        <v>14</v>
      </c>
      <c r="W35" s="668">
        <f t="shared" si="14"/>
        <v>100</v>
      </c>
      <c r="X35" s="1264"/>
      <c r="Y35" s="3475"/>
      <c r="Z35" s="1263" t="str">
        <f t="shared" si="15"/>
        <v>公共部分装修</v>
      </c>
      <c r="AA35" s="1263">
        <f t="shared" si="3"/>
        <v>1</v>
      </c>
      <c r="AB35" s="1263">
        <f t="shared" si="4"/>
        <v>1</v>
      </c>
      <c r="AC35" s="1263">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73"/>
      <c r="Q36" s="1262" t="str">
        <f t="shared" si="11"/>
        <v>成新度</v>
      </c>
      <c r="R36" s="667" t="s">
        <v>14</v>
      </c>
      <c r="S36" s="668" t="e">
        <f t="shared" si="12"/>
        <v>#N/A</v>
      </c>
      <c r="T36" s="667" t="s">
        <v>14</v>
      </c>
      <c r="U36" s="668" t="e">
        <f t="shared" si="13"/>
        <v>#N/A</v>
      </c>
      <c r="V36" s="667" t="s">
        <v>14</v>
      </c>
      <c r="W36" s="668" t="e">
        <f t="shared" si="14"/>
        <v>#N/A</v>
      </c>
      <c r="X36" s="1264"/>
      <c r="Y36" s="3475"/>
      <c r="Z36" s="1263" t="str">
        <f t="shared" si="15"/>
        <v>成新度</v>
      </c>
      <c r="AA36" s="1263" t="e">
        <f t="shared" si="3"/>
        <v>#N/A</v>
      </c>
      <c r="AB36" s="1263" t="e">
        <f t="shared" si="4"/>
        <v>#N/A</v>
      </c>
      <c r="AC36" s="1263" t="e">
        <f t="shared" si="5"/>
        <v>#N/A</v>
      </c>
    </row>
    <row r="37" spans="1:29" s="102" customFormat="1" ht="15">
      <c r="A37" s="410"/>
      <c r="B37" s="364" t="s">
        <v>1786</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73"/>
      <c r="Q37" s="530" t="str">
        <f t="shared" si="11"/>
        <v>市政基础设施</v>
      </c>
      <c r="R37" s="664" t="s">
        <v>14</v>
      </c>
      <c r="S37" s="665">
        <f t="shared" si="12"/>
        <v>100</v>
      </c>
      <c r="T37" s="664" t="s">
        <v>14</v>
      </c>
      <c r="U37" s="665">
        <f t="shared" si="13"/>
        <v>100</v>
      </c>
      <c r="V37" s="664" t="s">
        <v>14</v>
      </c>
      <c r="W37" s="665">
        <f t="shared" si="14"/>
        <v>100</v>
      </c>
      <c r="X37" s="666"/>
      <c r="Y37" s="3475"/>
      <c r="Z37" s="50" t="str">
        <f t="shared" si="15"/>
        <v>市政基础设施</v>
      </c>
      <c r="AA37" s="50">
        <f t="shared" si="3"/>
        <v>1</v>
      </c>
      <c r="AB37" s="50">
        <f t="shared" si="4"/>
        <v>1</v>
      </c>
      <c r="AC37" s="50">
        <f t="shared" si="5"/>
        <v>1</v>
      </c>
    </row>
    <row r="38" spans="1:29" ht="15">
      <c r="A38" s="409"/>
      <c r="B38" s="364" t="s">
        <v>1787</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73" t="s">
        <v>1695</v>
      </c>
      <c r="Q38" s="1262" t="str">
        <f t="shared" si="11"/>
        <v>业态</v>
      </c>
      <c r="R38" s="667" t="s">
        <v>14</v>
      </c>
      <c r="S38" s="668">
        <f t="shared" si="12"/>
        <v>100</v>
      </c>
      <c r="T38" s="667" t="s">
        <v>14</v>
      </c>
      <c r="U38" s="668">
        <f t="shared" si="13"/>
        <v>100</v>
      </c>
      <c r="V38" s="667" t="s">
        <v>14</v>
      </c>
      <c r="W38" s="668">
        <f t="shared" si="14"/>
        <v>100</v>
      </c>
      <c r="X38" s="1264"/>
      <c r="Y38" s="3475" t="s">
        <v>1695</v>
      </c>
      <c r="Z38" s="1263" t="str">
        <f t="shared" si="15"/>
        <v>业态</v>
      </c>
      <c r="AA38" s="1263">
        <f t="shared" si="3"/>
        <v>1</v>
      </c>
      <c r="AB38" s="1263">
        <f t="shared" si="4"/>
        <v>1</v>
      </c>
      <c r="AC38" s="1263">
        <f t="shared" si="5"/>
        <v>1</v>
      </c>
    </row>
    <row r="39" spans="1:29" ht="15">
      <c r="A39" s="409"/>
      <c r="B39" s="364" t="s">
        <v>1788</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73"/>
      <c r="Q39" s="1262" t="str">
        <f t="shared" si="11"/>
        <v>层高</v>
      </c>
      <c r="R39" s="667" t="s">
        <v>14</v>
      </c>
      <c r="S39" s="668">
        <f t="shared" si="12"/>
        <v>100</v>
      </c>
      <c r="T39" s="667" t="s">
        <v>14</v>
      </c>
      <c r="U39" s="668">
        <f t="shared" si="13"/>
        <v>100</v>
      </c>
      <c r="V39" s="667" t="s">
        <v>14</v>
      </c>
      <c r="W39" s="668">
        <f t="shared" si="14"/>
        <v>100</v>
      </c>
      <c r="X39" s="1264"/>
      <c r="Y39" s="3475"/>
      <c r="Z39" s="1263" t="str">
        <f t="shared" si="15"/>
        <v>层高</v>
      </c>
      <c r="AA39" s="1263">
        <f t="shared" si="3"/>
        <v>1</v>
      </c>
      <c r="AB39" s="1263">
        <f t="shared" si="4"/>
        <v>1</v>
      </c>
      <c r="AC39" s="1263">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73"/>
      <c r="Q40" s="1262" t="str">
        <f t="shared" si="11"/>
        <v>单套建筑面积</v>
      </c>
      <c r="R40" s="667" t="s">
        <v>14</v>
      </c>
      <c r="S40" s="668">
        <f t="shared" si="12"/>
        <v>100</v>
      </c>
      <c r="T40" s="667" t="s">
        <v>14</v>
      </c>
      <c r="U40" s="668">
        <f t="shared" si="13"/>
        <v>100</v>
      </c>
      <c r="V40" s="667" t="s">
        <v>14</v>
      </c>
      <c r="W40" s="668">
        <f t="shared" si="14"/>
        <v>100</v>
      </c>
      <c r="X40" s="1264"/>
      <c r="Y40" s="3475"/>
      <c r="Z40" s="1263" t="str">
        <f t="shared" si="15"/>
        <v>单套建筑面积</v>
      </c>
      <c r="AA40" s="1263">
        <f t="shared" si="3"/>
        <v>1</v>
      </c>
      <c r="AB40" s="1263">
        <f t="shared" si="4"/>
        <v>1</v>
      </c>
      <c r="AC40" s="1263">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73"/>
      <c r="Q41" s="531" t="str">
        <f t="shared" si="11"/>
        <v>进深比</v>
      </c>
      <c r="R41" s="669" t="s">
        <v>14</v>
      </c>
      <c r="S41" s="670">
        <f t="shared" si="12"/>
        <v>100</v>
      </c>
      <c r="T41" s="669" t="s">
        <v>14</v>
      </c>
      <c r="U41" s="670">
        <f t="shared" si="13"/>
        <v>100</v>
      </c>
      <c r="V41" s="669" t="s">
        <v>14</v>
      </c>
      <c r="W41" s="670">
        <f t="shared" si="14"/>
        <v>100</v>
      </c>
      <c r="X41" s="671"/>
      <c r="Y41" s="3475"/>
      <c r="Z41" s="672" t="str">
        <f t="shared" si="15"/>
        <v>进深比</v>
      </c>
      <c r="AA41" s="1263">
        <f t="shared" si="3"/>
        <v>1</v>
      </c>
      <c r="AB41" s="1263">
        <f t="shared" si="4"/>
        <v>1</v>
      </c>
      <c r="AC41" s="1263">
        <f t="shared" si="5"/>
        <v>1</v>
      </c>
    </row>
    <row r="42" spans="1:29" ht="15">
      <c r="A42" s="409"/>
      <c r="B42" s="364" t="s">
        <v>1791</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73"/>
      <c r="Q42" s="1262" t="str">
        <f t="shared" si="11"/>
        <v>内部装修</v>
      </c>
      <c r="R42" s="667" t="s">
        <v>14</v>
      </c>
      <c r="S42" s="668">
        <f t="shared" si="12"/>
        <v>100</v>
      </c>
      <c r="T42" s="667" t="s">
        <v>14</v>
      </c>
      <c r="U42" s="668">
        <f t="shared" si="13"/>
        <v>100</v>
      </c>
      <c r="V42" s="667" t="s">
        <v>14</v>
      </c>
      <c r="W42" s="668">
        <f t="shared" si="14"/>
        <v>100</v>
      </c>
      <c r="X42" s="1264"/>
      <c r="Y42" s="3475"/>
      <c r="Z42" s="1263" t="str">
        <f t="shared" si="15"/>
        <v>内部装修</v>
      </c>
      <c r="AA42" s="1263">
        <f t="shared" si="3"/>
        <v>1</v>
      </c>
      <c r="AB42" s="1263">
        <f t="shared" si="4"/>
        <v>1</v>
      </c>
      <c r="AC42" s="1263">
        <f t="shared" si="5"/>
        <v>1</v>
      </c>
    </row>
    <row r="43" spans="1:29" ht="15">
      <c r="A43" s="409"/>
      <c r="B43" s="364" t="s">
        <v>1706</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73"/>
      <c r="Q43" s="1262" t="str">
        <f t="shared" si="11"/>
        <v>内部装修维护情况</v>
      </c>
      <c r="R43" s="667" t="s">
        <v>14</v>
      </c>
      <c r="S43" s="668">
        <f t="shared" si="12"/>
        <v>100</v>
      </c>
      <c r="T43" s="667" t="s">
        <v>14</v>
      </c>
      <c r="U43" s="668">
        <f t="shared" si="13"/>
        <v>100</v>
      </c>
      <c r="V43" s="667" t="s">
        <v>14</v>
      </c>
      <c r="W43" s="668">
        <f t="shared" si="14"/>
        <v>100</v>
      </c>
      <c r="X43" s="1264"/>
      <c r="Y43" s="3475"/>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73"/>
      <c r="Q44" s="530">
        <f t="shared" si="11"/>
        <v>111</v>
      </c>
      <c r="R44" s="664" t="s">
        <v>14</v>
      </c>
      <c r="S44" s="665">
        <f t="shared" si="12"/>
        <v>100</v>
      </c>
      <c r="T44" s="664" t="s">
        <v>14</v>
      </c>
      <c r="U44" s="665">
        <f t="shared" si="13"/>
        <v>100</v>
      </c>
      <c r="V44" s="664" t="s">
        <v>14</v>
      </c>
      <c r="W44" s="665">
        <f t="shared" si="14"/>
        <v>100</v>
      </c>
      <c r="X44" s="666"/>
      <c r="Y44" s="34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73"/>
      <c r="Q45" s="1262">
        <f t="shared" si="11"/>
        <v>111</v>
      </c>
      <c r="R45" s="667" t="s">
        <v>14</v>
      </c>
      <c r="S45" s="668">
        <f t="shared" si="12"/>
        <v>100</v>
      </c>
      <c r="T45" s="667" t="s">
        <v>14</v>
      </c>
      <c r="U45" s="668">
        <f t="shared" si="13"/>
        <v>100</v>
      </c>
      <c r="V45" s="667" t="s">
        <v>14</v>
      </c>
      <c r="W45" s="668">
        <f t="shared" si="14"/>
        <v>100</v>
      </c>
      <c r="X45" s="1264"/>
      <c r="Y45" s="347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74"/>
      <c r="Q46" s="1262">
        <f t="shared" si="11"/>
        <v>111</v>
      </c>
      <c r="R46" s="667" t="s">
        <v>14</v>
      </c>
      <c r="S46" s="668">
        <f t="shared" si="12"/>
        <v>100</v>
      </c>
      <c r="T46" s="667" t="s">
        <v>14</v>
      </c>
      <c r="U46" s="668">
        <f t="shared" si="13"/>
        <v>100</v>
      </c>
      <c r="V46" s="667" t="s">
        <v>14</v>
      </c>
      <c r="W46" s="668">
        <f t="shared" si="14"/>
        <v>100</v>
      </c>
      <c r="X46" s="1264"/>
      <c r="Y46" s="3476"/>
      <c r="Z46" s="1263">
        <f t="shared" si="15"/>
        <v>111</v>
      </c>
      <c r="AA46" s="1263">
        <f t="shared" si="3"/>
        <v>1</v>
      </c>
      <c r="AB46" s="1263">
        <f t="shared" si="4"/>
        <v>1</v>
      </c>
      <c r="AC46" s="1263">
        <f t="shared" si="5"/>
        <v>1</v>
      </c>
    </row>
    <row r="47" spans="1:29" ht="15">
      <c r="A47" s="416" t="s">
        <v>1707</v>
      </c>
      <c r="B47" s="417"/>
      <c r="C47" s="1081" t="s">
        <v>0</v>
      </c>
      <c r="D47" s="418"/>
      <c r="E47" s="419"/>
      <c r="F47" s="420"/>
      <c r="G47" s="421"/>
      <c r="H47" s="422"/>
      <c r="I47" s="419"/>
      <c r="J47" s="422"/>
      <c r="K47" s="674"/>
      <c r="L47" s="2494"/>
      <c r="M47" s="2487"/>
      <c r="N47" s="2487"/>
      <c r="O47" s="2487"/>
      <c r="P47" s="3468" t="str">
        <f>A47</f>
        <v>成交单价（元/平方米）</v>
      </c>
      <c r="Q47" s="3468"/>
      <c r="R47" s="3469">
        <f>E47</f>
        <v>0</v>
      </c>
      <c r="S47" s="3469"/>
      <c r="T47" s="3469">
        <f>G47</f>
        <v>0</v>
      </c>
      <c r="U47" s="3469"/>
      <c r="V47" s="3469">
        <f>I47</f>
        <v>0</v>
      </c>
      <c r="W47" s="3469"/>
      <c r="X47" s="385"/>
      <c r="Y47" s="673"/>
      <c r="Z47" s="385"/>
      <c r="AA47" s="385"/>
      <c r="AB47" s="385"/>
      <c r="AC47" s="385"/>
    </row>
    <row r="48" spans="1:29" ht="15.75" thickBot="1">
      <c r="A48" s="423" t="s">
        <v>1792</v>
      </c>
      <c r="B48" s="424"/>
      <c r="C48" s="1082" t="e">
        <f>R49</f>
        <v>#DIV/0!</v>
      </c>
      <c r="D48" s="2140" t="s">
        <v>2137</v>
      </c>
      <c r="E48" s="1083" t="e">
        <f>R48</f>
        <v>#DIV/0!</v>
      </c>
      <c r="F48" s="2141"/>
      <c r="G48" s="1082" t="e">
        <f>T48</f>
        <v>#DIV/0!</v>
      </c>
      <c r="H48" s="2141"/>
      <c r="I48" s="1083" t="e">
        <f>V48</f>
        <v>#DIV/0!</v>
      </c>
      <c r="J48" s="2141"/>
      <c r="K48" s="2143">
        <f>F48+H48+J48</f>
        <v>0</v>
      </c>
      <c r="L48" s="2494"/>
      <c r="M48" s="2487"/>
      <c r="N48" s="2487"/>
      <c r="O48" s="2487"/>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94"/>
      <c r="M49" s="2487"/>
      <c r="N49" s="2487"/>
      <c r="O49" s="2487"/>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20 I20 G20 C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25 E25 G25 I25" xr:uid="{00000000-0002-0000-2400-000005000000}">
      <formula1>商业临街状况</formula1>
    </dataValidation>
    <dataValidation type="list" allowBlank="1" showInputMessage="1" showErrorMessage="1" sqref="C27 E27 G27 I27" xr:uid="{00000000-0002-0000-2400-000006000000}">
      <formula1>商业人流量</formula1>
    </dataValidation>
    <dataValidation type="list" allowBlank="1" showInputMessage="1" showErrorMessage="1" sqref="C28 E28 G28 I28" xr:uid="{00000000-0002-0000-2400-000007000000}">
      <formula1>商业楼层</formula1>
    </dataValidation>
    <dataValidation type="list" allowBlank="1" showInputMessage="1" showErrorMessage="1" sqref="C32 E32 G32 I32" xr:uid="{00000000-0002-0000-2400-000008000000}">
      <formula1>商业类型</formula1>
    </dataValidation>
    <dataValidation type="list" allowBlank="1" showInputMessage="1" showErrorMessage="1" sqref="C34 E34 G34 I34" xr:uid="{00000000-0002-0000-2400-000009000000}">
      <formula1>商业建筑结构</formula1>
    </dataValidation>
    <dataValidation type="list" allowBlank="1" showInputMessage="1" showErrorMessage="1" sqref="C35 E35 G35 I35" xr:uid="{00000000-0002-0000-2400-00000A000000}">
      <formula1>商业公共部分装修</formula1>
    </dataValidation>
    <dataValidation type="list" allowBlank="1" showInputMessage="1" showErrorMessage="1" sqref="C37 E37 G37 I37" xr:uid="{00000000-0002-0000-2400-00000B000000}">
      <formula1>商业基础设施水平</formula1>
    </dataValidation>
    <dataValidation type="list" allowBlank="1" showInputMessage="1" showErrorMessage="1" sqref="C41 E41 G41 I41" xr:uid="{00000000-0002-0000-2400-00000C000000}">
      <formula1>商业进深比</formula1>
    </dataValidation>
    <dataValidation type="list" allowBlank="1" showInputMessage="1" showErrorMessage="1" sqref="C42 E42 G42 I42" xr:uid="{00000000-0002-0000-2400-00000D000000}">
      <formula1>商业内部装修</formula1>
    </dataValidation>
    <dataValidation type="list" allowBlank="1" showInputMessage="1" showErrorMessage="1" sqref="E9 G9 I9" xr:uid="{00000000-0002-0000-2400-00000E000000}">
      <formula1>商业用途</formula1>
    </dataValidation>
    <dataValidation type="list" allowBlank="1" showInputMessage="1" showErrorMessage="1" sqref="C38 E38 G38 I38" xr:uid="{00000000-0002-0000-2400-00000F000000}">
      <formula1>商业业态</formula1>
    </dataValidation>
    <dataValidation type="list" allowBlank="1" showInputMessage="1" showErrorMessage="1" sqref="C39 E39 G39 I39" xr:uid="{00000000-0002-0000-2400-000010000000}">
      <formula1>商业层高</formula1>
    </dataValidation>
    <dataValidation type="list" allowBlank="1" showInputMessage="1" showErrorMessage="1" sqref="C8 E8 G8 I8" xr:uid="{00000000-0002-0000-2400-000011000000}">
      <formula1>商业交易情况</formula1>
    </dataValidation>
    <dataValidation type="list" allowBlank="1" showInputMessage="1" showErrorMessage="1" sqref="C16 E16 G16 I16" xr:uid="{00000000-0002-0000-2400-000012000000}">
      <formula1>商业繁华度</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 type="list" allowBlank="1" showInputMessage="1" showErrorMessage="1" sqref="E1" xr:uid="{00000000-0002-0000-24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111"/>
  <sheetViews>
    <sheetView topLeftCell="A13" workbookViewId="0">
      <selection activeCell="K6" sqref="K6"/>
    </sheetView>
  </sheetViews>
  <sheetFormatPr defaultRowHeight="14.25"/>
  <cols>
    <col min="1" max="1" width="26.625" style="3161" customWidth="1"/>
    <col min="2" max="3" width="6.375" style="3161" bestFit="1" customWidth="1"/>
    <col min="4" max="4" width="9.625" style="3161" bestFit="1" customWidth="1"/>
    <col min="5" max="5" width="13" style="3161" bestFit="1" customWidth="1"/>
    <col min="6" max="6" width="10.75" style="3161" customWidth="1"/>
    <col min="7" max="7" width="10.25" style="3161" customWidth="1"/>
    <col min="8" max="8" width="12.375" style="3161" bestFit="1" customWidth="1"/>
    <col min="9" max="9" width="24.375" style="3161" customWidth="1"/>
    <col min="10" max="10" width="11.875" style="3161" customWidth="1"/>
    <col min="11" max="11" width="11.75" style="3161" customWidth="1"/>
    <col min="12" max="12" width="8" style="3161" bestFit="1" customWidth="1"/>
    <col min="13" max="13" width="10.25" style="3161" bestFit="1" customWidth="1"/>
    <col min="14" max="14" width="8" style="3161" customWidth="1"/>
    <col min="15" max="15" width="9.375" style="3161" customWidth="1"/>
    <col min="16" max="16" width="7.25" style="3161" customWidth="1"/>
    <col min="17" max="17" width="7.625" style="3161" customWidth="1"/>
    <col min="18" max="18" width="34.875" style="3161" bestFit="1" customWidth="1"/>
    <col min="19" max="16384" width="9" style="3161"/>
  </cols>
  <sheetData>
    <row r="1" spans="1:18" s="3168" customFormat="1" ht="26.25" customHeight="1">
      <c r="A1" s="3559" t="s">
        <v>3567</v>
      </c>
      <c r="B1" s="3563" t="s">
        <v>3566</v>
      </c>
      <c r="C1" s="3563" t="s">
        <v>3565</v>
      </c>
      <c r="D1" s="3563" t="s">
        <v>3564</v>
      </c>
      <c r="E1" s="3563" t="s">
        <v>3563</v>
      </c>
      <c r="F1" s="3563" t="s">
        <v>3562</v>
      </c>
      <c r="G1" s="3563" t="s">
        <v>3561</v>
      </c>
      <c r="H1" s="3563" t="s">
        <v>3560</v>
      </c>
      <c r="I1" s="3563" t="s">
        <v>3559</v>
      </c>
      <c r="J1" s="3563" t="s">
        <v>3558</v>
      </c>
      <c r="K1" s="3563" t="s">
        <v>3557</v>
      </c>
      <c r="L1" s="3563" t="s">
        <v>3556</v>
      </c>
      <c r="M1" s="3563" t="s">
        <v>3555</v>
      </c>
      <c r="N1" s="3563" t="s">
        <v>3554</v>
      </c>
      <c r="O1" s="3563" t="s">
        <v>3553</v>
      </c>
      <c r="P1" s="3563" t="s">
        <v>3552</v>
      </c>
      <c r="Q1" s="3563" t="s">
        <v>3551</v>
      </c>
      <c r="R1" s="3563" t="s">
        <v>3550</v>
      </c>
    </row>
    <row r="2" spans="1:18">
      <c r="A2" s="3162" t="s">
        <v>3549</v>
      </c>
      <c r="B2" s="3560" t="s">
        <v>3426</v>
      </c>
      <c r="C2" s="3560" t="s">
        <v>3448</v>
      </c>
      <c r="D2" s="3560" t="s">
        <v>3484</v>
      </c>
      <c r="E2" s="3560" t="s">
        <v>3548</v>
      </c>
      <c r="F2" s="3560">
        <v>139781</v>
      </c>
      <c r="G2" s="3560">
        <v>108634</v>
      </c>
      <c r="H2" s="3560" t="s">
        <v>3422</v>
      </c>
      <c r="I2" s="3560" t="s">
        <v>3547</v>
      </c>
      <c r="J2" s="3560" t="s">
        <v>3546</v>
      </c>
      <c r="K2" s="3560" t="s">
        <v>3545</v>
      </c>
      <c r="L2" s="3560" t="s">
        <v>3442</v>
      </c>
      <c r="M2" s="3560" t="s">
        <v>3540</v>
      </c>
      <c r="N2" s="3560">
        <v>62064</v>
      </c>
      <c r="O2" s="3560">
        <v>4440.08</v>
      </c>
      <c r="P2" s="3560">
        <v>5713</v>
      </c>
      <c r="Q2" s="3560">
        <v>0</v>
      </c>
      <c r="R2" s="3560" t="s">
        <v>3544</v>
      </c>
    </row>
    <row r="3" spans="1:18">
      <c r="A3" s="3559" t="s">
        <v>3543</v>
      </c>
      <c r="B3" s="3560" t="s">
        <v>3426</v>
      </c>
      <c r="C3" s="3560" t="s">
        <v>3425</v>
      </c>
      <c r="D3" s="3560" t="s">
        <v>3491</v>
      </c>
      <c r="E3" s="3560" t="s">
        <v>3542</v>
      </c>
      <c r="F3" s="3560">
        <v>29972</v>
      </c>
      <c r="G3" s="3560">
        <v>425000</v>
      </c>
      <c r="H3" s="3560" t="s">
        <v>3422</v>
      </c>
      <c r="I3" s="3560" t="s">
        <v>3431</v>
      </c>
      <c r="J3" s="3560" t="s">
        <v>3528</v>
      </c>
      <c r="K3" s="3560" t="s">
        <v>3541</v>
      </c>
      <c r="L3" s="3560" t="s">
        <v>3442</v>
      </c>
      <c r="M3" s="3560" t="s">
        <v>3540</v>
      </c>
      <c r="N3" s="3560">
        <v>204600</v>
      </c>
      <c r="O3" s="3560">
        <v>68263.710000000006</v>
      </c>
      <c r="P3" s="3560">
        <v>4814</v>
      </c>
      <c r="Q3" s="3560">
        <v>0</v>
      </c>
      <c r="R3" s="3560" t="s">
        <v>3539</v>
      </c>
    </row>
    <row r="4" spans="1:18">
      <c r="A4" s="3559" t="s">
        <v>3538</v>
      </c>
      <c r="B4" s="3560" t="s">
        <v>3426</v>
      </c>
      <c r="C4" s="3560" t="s">
        <v>3425</v>
      </c>
      <c r="D4" s="3560" t="s">
        <v>3537</v>
      </c>
      <c r="E4" s="3560" t="s">
        <v>3536</v>
      </c>
      <c r="F4" s="3560">
        <v>6281.61</v>
      </c>
      <c r="G4" s="3560">
        <v>10467.799999999999</v>
      </c>
      <c r="H4" s="3560" t="s">
        <v>3422</v>
      </c>
      <c r="I4" s="3560" t="s">
        <v>3535</v>
      </c>
      <c r="J4" s="3560" t="s">
        <v>3482</v>
      </c>
      <c r="K4" s="3560" t="s">
        <v>3534</v>
      </c>
      <c r="L4" s="3560" t="s">
        <v>3442</v>
      </c>
      <c r="M4" s="3560" t="s">
        <v>3533</v>
      </c>
      <c r="N4" s="3560">
        <v>5704</v>
      </c>
      <c r="O4" s="3560">
        <v>9080.4699999999993</v>
      </c>
      <c r="P4" s="3560">
        <v>5449</v>
      </c>
      <c r="Q4" s="3560">
        <v>0</v>
      </c>
      <c r="R4" s="3560" t="s">
        <v>3532</v>
      </c>
    </row>
    <row r="5" spans="1:18" s="3163" customFormat="1">
      <c r="A5" s="3562" t="s">
        <v>3531</v>
      </c>
      <c r="B5" s="3561" t="s">
        <v>3426</v>
      </c>
      <c r="C5" s="3561" t="s">
        <v>3434</v>
      </c>
      <c r="D5" s="3561" t="s">
        <v>3530</v>
      </c>
      <c r="E5" s="3561" t="s">
        <v>3529</v>
      </c>
      <c r="F5" s="3561">
        <v>4587.29</v>
      </c>
      <c r="G5" s="3561">
        <v>19930</v>
      </c>
      <c r="H5" s="3561" t="s">
        <v>3422</v>
      </c>
      <c r="I5" s="3561" t="s">
        <v>3431</v>
      </c>
      <c r="J5" s="3561" t="s">
        <v>3528</v>
      </c>
      <c r="K5" s="3561" t="s">
        <v>3527</v>
      </c>
      <c r="L5" s="3561" t="s">
        <v>3442</v>
      </c>
      <c r="M5" s="3561" t="s">
        <v>3526</v>
      </c>
      <c r="N5" s="3561">
        <v>9960</v>
      </c>
      <c r="O5" s="3561">
        <v>21712.16</v>
      </c>
      <c r="P5" s="3561">
        <v>4997</v>
      </c>
      <c r="Q5" s="3561">
        <v>0</v>
      </c>
      <c r="R5" s="3561" t="s">
        <v>3525</v>
      </c>
    </row>
    <row r="6" spans="1:18" s="3163" customFormat="1" ht="30.75" customHeight="1">
      <c r="A6" s="3562" t="s">
        <v>3524</v>
      </c>
      <c r="B6" s="3561" t="s">
        <v>3426</v>
      </c>
      <c r="C6" s="3561" t="s">
        <v>3463</v>
      </c>
      <c r="D6" s="3561" t="s">
        <v>3511</v>
      </c>
      <c r="E6" s="3561" t="s">
        <v>3523</v>
      </c>
      <c r="F6" s="3561">
        <v>5989</v>
      </c>
      <c r="G6" s="3561">
        <v>29936</v>
      </c>
      <c r="H6" s="3561" t="s">
        <v>3422</v>
      </c>
      <c r="I6" s="3561" t="s">
        <v>3522</v>
      </c>
      <c r="J6" s="3561" t="s">
        <v>3482</v>
      </c>
      <c r="K6" s="3561" t="s">
        <v>3521</v>
      </c>
      <c r="L6" s="3561" t="s">
        <v>3442</v>
      </c>
      <c r="M6" s="3561" t="s">
        <v>3520</v>
      </c>
      <c r="N6" s="3561">
        <v>14920</v>
      </c>
      <c r="O6" s="3561">
        <v>24912.34</v>
      </c>
      <c r="P6" s="3561">
        <v>4984</v>
      </c>
      <c r="Q6" s="3561">
        <v>0</v>
      </c>
      <c r="R6" s="3561" t="s">
        <v>3519</v>
      </c>
    </row>
    <row r="7" spans="1:18">
      <c r="A7" s="3559" t="s">
        <v>3518</v>
      </c>
      <c r="B7" s="3560" t="s">
        <v>3426</v>
      </c>
      <c r="C7" s="3560" t="s">
        <v>3463</v>
      </c>
      <c r="D7" s="3560" t="s">
        <v>3517</v>
      </c>
      <c r="E7" s="3560" t="s">
        <v>3516</v>
      </c>
      <c r="F7" s="3560">
        <v>2445</v>
      </c>
      <c r="G7" s="3560">
        <v>445</v>
      </c>
      <c r="H7" s="3560" t="s">
        <v>3422</v>
      </c>
      <c r="I7" s="3560" t="s">
        <v>2429</v>
      </c>
      <c r="J7" s="3560" t="s">
        <v>3482</v>
      </c>
      <c r="K7" s="3560" t="s">
        <v>3515</v>
      </c>
      <c r="L7" s="3560" t="s">
        <v>3442</v>
      </c>
      <c r="M7" s="3560" t="s">
        <v>3514</v>
      </c>
      <c r="N7" s="3560">
        <v>4800</v>
      </c>
      <c r="O7" s="3560">
        <v>19631.900000000001</v>
      </c>
      <c r="P7" s="3560">
        <v>107865</v>
      </c>
      <c r="Q7" s="3560">
        <v>0</v>
      </c>
      <c r="R7" s="3560" t="s">
        <v>3513</v>
      </c>
    </row>
    <row r="8" spans="1:18" ht="36">
      <c r="A8" s="3164" t="s">
        <v>3512</v>
      </c>
      <c r="B8" s="3560" t="s">
        <v>3426</v>
      </c>
      <c r="C8" s="3560" t="s">
        <v>3434</v>
      </c>
      <c r="D8" s="3560" t="s">
        <v>3511</v>
      </c>
      <c r="E8" s="3560" t="s">
        <v>3510</v>
      </c>
      <c r="F8" s="3560">
        <v>6078</v>
      </c>
      <c r="G8" s="3560">
        <v>0</v>
      </c>
      <c r="H8" s="3560" t="s">
        <v>3422</v>
      </c>
      <c r="I8" s="3560" t="s">
        <v>3509</v>
      </c>
      <c r="J8" s="3560" t="s">
        <v>3482</v>
      </c>
      <c r="K8" s="3560" t="s">
        <v>3508</v>
      </c>
      <c r="L8" s="3560" t="s">
        <v>3442</v>
      </c>
      <c r="M8" s="3560" t="s">
        <v>3507</v>
      </c>
      <c r="N8" s="3560">
        <v>49400</v>
      </c>
      <c r="O8" s="3560">
        <v>81276.73</v>
      </c>
      <c r="P8" s="3560" t="s">
        <v>3506</v>
      </c>
      <c r="Q8" s="3560">
        <v>0</v>
      </c>
      <c r="R8" s="3560" t="s">
        <v>3505</v>
      </c>
    </row>
    <row r="9" spans="1:18">
      <c r="A9" s="3559" t="s">
        <v>3504</v>
      </c>
      <c r="B9" s="3560" t="s">
        <v>3426</v>
      </c>
      <c r="C9" s="3560" t="s">
        <v>3425</v>
      </c>
      <c r="D9" s="3560" t="s">
        <v>3491</v>
      </c>
      <c r="E9" s="3560" t="s">
        <v>3503</v>
      </c>
      <c r="F9" s="3560">
        <v>7515</v>
      </c>
      <c r="G9" s="3560">
        <v>16876</v>
      </c>
      <c r="H9" s="3560" t="s">
        <v>3422</v>
      </c>
      <c r="I9" s="3560" t="s">
        <v>3502</v>
      </c>
      <c r="J9" s="3560" t="s">
        <v>3482</v>
      </c>
      <c r="K9" s="3560" t="s">
        <v>3501</v>
      </c>
      <c r="L9" s="3560" t="s">
        <v>3442</v>
      </c>
      <c r="M9" s="3560" t="s">
        <v>3500</v>
      </c>
      <c r="N9" s="3560">
        <v>75000</v>
      </c>
      <c r="O9" s="3560">
        <v>99800.4</v>
      </c>
      <c r="P9" s="3560">
        <v>44442</v>
      </c>
      <c r="Q9" s="3560">
        <v>0</v>
      </c>
      <c r="R9" s="3560" t="s">
        <v>3499</v>
      </c>
    </row>
    <row r="10" spans="1:18">
      <c r="A10" s="3559" t="s">
        <v>3498</v>
      </c>
      <c r="B10" s="3560" t="s">
        <v>3426</v>
      </c>
      <c r="C10" s="3560" t="s">
        <v>3448</v>
      </c>
      <c r="D10" s="3560" t="s">
        <v>3497</v>
      </c>
      <c r="E10" s="3560" t="s">
        <v>3496</v>
      </c>
      <c r="F10" s="3560">
        <v>5532.46</v>
      </c>
      <c r="G10" s="3560">
        <v>75000</v>
      </c>
      <c r="H10" s="3560" t="s">
        <v>3422</v>
      </c>
      <c r="I10" s="3560" t="s">
        <v>3431</v>
      </c>
      <c r="J10" s="3560" t="s">
        <v>3420</v>
      </c>
      <c r="K10" s="3560" t="s">
        <v>3495</v>
      </c>
      <c r="L10" s="3560" t="s">
        <v>3442</v>
      </c>
      <c r="M10" s="3560" t="s">
        <v>3494</v>
      </c>
      <c r="N10" s="3560">
        <v>39000</v>
      </c>
      <c r="O10" s="3560">
        <v>70493.05</v>
      </c>
      <c r="P10" s="3560">
        <v>5200</v>
      </c>
      <c r="Q10" s="3560">
        <v>0</v>
      </c>
      <c r="R10" s="3560" t="s">
        <v>3493</v>
      </c>
    </row>
    <row r="11" spans="1:18" s="3163" customFormat="1">
      <c r="A11" s="3562" t="s">
        <v>3492</v>
      </c>
      <c r="B11" s="3561" t="s">
        <v>3426</v>
      </c>
      <c r="C11" s="3561" t="s">
        <v>3425</v>
      </c>
      <c r="D11" s="3561" t="s">
        <v>3491</v>
      </c>
      <c r="E11" s="3561" t="s">
        <v>3490</v>
      </c>
      <c r="F11" s="3561">
        <v>11347.57</v>
      </c>
      <c r="G11" s="3561">
        <v>68000</v>
      </c>
      <c r="H11" s="3561" t="s">
        <v>3422</v>
      </c>
      <c r="I11" s="3561" t="s">
        <v>3489</v>
      </c>
      <c r="J11" s="3561" t="s">
        <v>3430</v>
      </c>
      <c r="K11" s="3561" t="s">
        <v>3488</v>
      </c>
      <c r="L11" s="3561" t="s">
        <v>3442</v>
      </c>
      <c r="M11" s="3561" t="s">
        <v>3487</v>
      </c>
      <c r="N11" s="3561">
        <v>38624</v>
      </c>
      <c r="O11" s="3561">
        <v>34037.24</v>
      </c>
      <c r="P11" s="3561">
        <v>5680</v>
      </c>
      <c r="Q11" s="3561">
        <v>0</v>
      </c>
      <c r="R11" s="3561" t="s">
        <v>3486</v>
      </c>
    </row>
    <row r="12" spans="1:18" ht="25.5" customHeight="1">
      <c r="A12" s="3559" t="s">
        <v>3485</v>
      </c>
      <c r="B12" s="3560" t="s">
        <v>3426</v>
      </c>
      <c r="C12" s="3560" t="s">
        <v>3448</v>
      </c>
      <c r="D12" s="3560" t="s">
        <v>3484</v>
      </c>
      <c r="E12" s="3560" t="s">
        <v>3483</v>
      </c>
      <c r="F12" s="3560">
        <v>39099</v>
      </c>
      <c r="G12" s="3560">
        <v>45002.95</v>
      </c>
      <c r="H12" s="3560" t="s">
        <v>3422</v>
      </c>
      <c r="I12" s="3560" t="s">
        <v>2437</v>
      </c>
      <c r="J12" s="3560" t="s">
        <v>3482</v>
      </c>
      <c r="K12" s="3560" t="s">
        <v>3481</v>
      </c>
      <c r="L12" s="3560" t="s">
        <v>3442</v>
      </c>
      <c r="M12" s="3560" t="s">
        <v>3480</v>
      </c>
      <c r="N12" s="3560">
        <v>49000</v>
      </c>
      <c r="O12" s="3560">
        <v>12532.29</v>
      </c>
      <c r="P12" s="3560">
        <v>10888</v>
      </c>
      <c r="Q12" s="3560">
        <v>0</v>
      </c>
      <c r="R12" s="3560" t="s">
        <v>3479</v>
      </c>
    </row>
    <row r="13" spans="1:18">
      <c r="A13" s="3559" t="s">
        <v>3478</v>
      </c>
      <c r="B13" s="3560" t="s">
        <v>3426</v>
      </c>
      <c r="C13" s="3560" t="s">
        <v>3425</v>
      </c>
      <c r="D13" s="3560" t="s">
        <v>3477</v>
      </c>
      <c r="E13" s="3560" t="s">
        <v>3476</v>
      </c>
      <c r="F13" s="3560">
        <v>26766</v>
      </c>
      <c r="G13" s="3560">
        <v>37000</v>
      </c>
      <c r="H13" s="3560" t="s">
        <v>3422</v>
      </c>
      <c r="I13" s="3560" t="s">
        <v>3475</v>
      </c>
      <c r="J13" s="3560" t="s">
        <v>3430</v>
      </c>
      <c r="K13" s="3560" t="s">
        <v>3474</v>
      </c>
      <c r="L13" s="3560" t="s">
        <v>3442</v>
      </c>
      <c r="M13" s="3560" t="s">
        <v>3473</v>
      </c>
      <c r="N13" s="3560">
        <v>16700</v>
      </c>
      <c r="O13" s="3560">
        <v>6239.25</v>
      </c>
      <c r="P13" s="3560">
        <v>4514</v>
      </c>
      <c r="Q13" s="3560">
        <v>0</v>
      </c>
      <c r="R13" s="3560" t="s">
        <v>3472</v>
      </c>
    </row>
    <row r="14" spans="1:18" ht="27.75" customHeight="1">
      <c r="A14" s="3559" t="s">
        <v>3471</v>
      </c>
      <c r="B14" s="3560" t="s">
        <v>3426</v>
      </c>
      <c r="C14" s="3560" t="s">
        <v>3425</v>
      </c>
      <c r="D14" s="3560" t="s">
        <v>3470</v>
      </c>
      <c r="E14" s="3560" t="s">
        <v>3469</v>
      </c>
      <c r="F14" s="3560">
        <v>11813</v>
      </c>
      <c r="G14" s="3560">
        <v>10429</v>
      </c>
      <c r="H14" s="3560" t="s">
        <v>3422</v>
      </c>
      <c r="I14" s="3560" t="s">
        <v>3468</v>
      </c>
      <c r="J14" s="3560">
        <v>40</v>
      </c>
      <c r="K14" s="3560" t="s">
        <v>3467</v>
      </c>
      <c r="L14" s="3560" t="s">
        <v>3442</v>
      </c>
      <c r="M14" s="3560" t="s">
        <v>3466</v>
      </c>
      <c r="N14" s="3560">
        <v>4604</v>
      </c>
      <c r="O14" s="3560">
        <v>3897.4</v>
      </c>
      <c r="P14" s="3560">
        <v>4415</v>
      </c>
      <c r="Q14" s="3560">
        <v>0</v>
      </c>
      <c r="R14" s="3560" t="s">
        <v>3465</v>
      </c>
    </row>
    <row r="15" spans="1:18">
      <c r="A15" s="3559" t="s">
        <v>3464</v>
      </c>
      <c r="B15" s="3560" t="s">
        <v>3426</v>
      </c>
      <c r="C15" s="3560" t="s">
        <v>3463</v>
      </c>
      <c r="D15" s="3560" t="s">
        <v>3462</v>
      </c>
      <c r="E15" s="3560" t="s">
        <v>3461</v>
      </c>
      <c r="F15" s="3560">
        <v>1461.05</v>
      </c>
      <c r="G15" s="3560">
        <v>212</v>
      </c>
      <c r="H15" s="3560" t="s">
        <v>3422</v>
      </c>
      <c r="I15" s="3560" t="s">
        <v>3460</v>
      </c>
      <c r="J15" s="3560">
        <v>40</v>
      </c>
      <c r="K15" s="3560" t="s">
        <v>3459</v>
      </c>
      <c r="L15" s="3560" t="s">
        <v>3442</v>
      </c>
      <c r="M15" s="3560" t="s">
        <v>3458</v>
      </c>
      <c r="N15" s="3560">
        <v>5400</v>
      </c>
      <c r="O15" s="3560">
        <v>36959.72</v>
      </c>
      <c r="P15" s="3560">
        <v>254717</v>
      </c>
      <c r="Q15" s="3560">
        <v>37.06</v>
      </c>
      <c r="R15" s="3560" t="s">
        <v>3457</v>
      </c>
    </row>
    <row r="16" spans="1:18">
      <c r="A16" s="3559" t="s">
        <v>3456</v>
      </c>
      <c r="B16" s="3560" t="s">
        <v>3426</v>
      </c>
      <c r="C16" s="3560" t="s">
        <v>3425</v>
      </c>
      <c r="D16" s="3560" t="s">
        <v>3455</v>
      </c>
      <c r="E16" s="3560" t="s">
        <v>3454</v>
      </c>
      <c r="F16" s="3560">
        <v>5837</v>
      </c>
      <c r="G16" s="3560">
        <v>16410</v>
      </c>
      <c r="H16" s="3560" t="s">
        <v>3422</v>
      </c>
      <c r="I16" s="3560" t="s">
        <v>3453</v>
      </c>
      <c r="J16" s="3560" t="s">
        <v>3420</v>
      </c>
      <c r="K16" s="3560" t="s">
        <v>3452</v>
      </c>
      <c r="L16" s="3560" t="s">
        <v>3442</v>
      </c>
      <c r="M16" s="3560" t="s">
        <v>3451</v>
      </c>
      <c r="N16" s="3560">
        <v>9000</v>
      </c>
      <c r="O16" s="3560">
        <v>15418.88</v>
      </c>
      <c r="P16" s="3560">
        <v>5484</v>
      </c>
      <c r="Q16" s="3560">
        <v>0</v>
      </c>
      <c r="R16" s="3560" t="s">
        <v>3450</v>
      </c>
    </row>
    <row r="17" spans="1:18">
      <c r="A17" s="3559" t="s">
        <v>3449</v>
      </c>
      <c r="B17" s="3560" t="s">
        <v>3426</v>
      </c>
      <c r="C17" s="3560" t="s">
        <v>3448</v>
      </c>
      <c r="D17" s="3560" t="s">
        <v>3447</v>
      </c>
      <c r="E17" s="3560" t="s">
        <v>3446</v>
      </c>
      <c r="F17" s="3560">
        <v>3701.09</v>
      </c>
      <c r="G17" s="3560">
        <v>700</v>
      </c>
      <c r="H17" s="3560" t="s">
        <v>3422</v>
      </c>
      <c r="I17" s="3560" t="s">
        <v>3445</v>
      </c>
      <c r="J17" s="3560" t="s">
        <v>3444</v>
      </c>
      <c r="K17" s="3560" t="s">
        <v>3443</v>
      </c>
      <c r="L17" s="3560" t="s">
        <v>3442</v>
      </c>
      <c r="M17" s="3560" t="s">
        <v>3441</v>
      </c>
      <c r="N17" s="3560">
        <v>10180</v>
      </c>
      <c r="O17" s="3560">
        <v>27505.41</v>
      </c>
      <c r="P17" s="3560">
        <v>145429</v>
      </c>
      <c r="Q17" s="3560">
        <v>0</v>
      </c>
      <c r="R17" s="3560" t="s">
        <v>3440</v>
      </c>
    </row>
    <row r="18" spans="1:18">
      <c r="A18" s="3559" t="s">
        <v>3439</v>
      </c>
      <c r="B18" s="3560" t="s">
        <v>3426</v>
      </c>
      <c r="C18" s="3560" t="s">
        <v>3425</v>
      </c>
      <c r="D18" s="3560" t="s">
        <v>3424</v>
      </c>
      <c r="E18" s="3560" t="s">
        <v>3438</v>
      </c>
      <c r="F18" s="3560">
        <v>2872.61</v>
      </c>
      <c r="G18" s="3560">
        <v>6524.71</v>
      </c>
      <c r="H18" s="3560" t="s">
        <v>3422</v>
      </c>
      <c r="I18" s="3560" t="s">
        <v>3421</v>
      </c>
      <c r="J18" s="3560" t="s">
        <v>3420</v>
      </c>
      <c r="K18" s="3560" t="s">
        <v>3437</v>
      </c>
      <c r="L18" s="3560" t="s">
        <v>3418</v>
      </c>
      <c r="M18" s="3560" t="s">
        <v>3417</v>
      </c>
      <c r="N18" s="3560">
        <v>770</v>
      </c>
      <c r="O18" s="3560">
        <v>2680.48</v>
      </c>
      <c r="P18" s="3560">
        <v>1180</v>
      </c>
      <c r="Q18" s="3560">
        <v>0</v>
      </c>
      <c r="R18" s="3560" t="s">
        <v>3436</v>
      </c>
    </row>
    <row r="19" spans="1:18">
      <c r="A19" s="3559" t="s">
        <v>3435</v>
      </c>
      <c r="B19" s="3560" t="s">
        <v>3426</v>
      </c>
      <c r="C19" s="3560" t="s">
        <v>3434</v>
      </c>
      <c r="D19" s="3560" t="s">
        <v>3433</v>
      </c>
      <c r="E19" s="3560" t="s">
        <v>3432</v>
      </c>
      <c r="F19" s="3560">
        <v>15494</v>
      </c>
      <c r="G19" s="3560">
        <v>44100</v>
      </c>
      <c r="H19" s="3560" t="s">
        <v>3422</v>
      </c>
      <c r="I19" s="3560" t="s">
        <v>3431</v>
      </c>
      <c r="J19" s="3560" t="s">
        <v>3430</v>
      </c>
      <c r="K19" s="3560" t="s">
        <v>3429</v>
      </c>
      <c r="L19" s="3560" t="s">
        <v>3418</v>
      </c>
      <c r="M19" s="3560" t="s">
        <v>3417</v>
      </c>
      <c r="N19" s="3560">
        <v>31610</v>
      </c>
      <c r="O19" s="3560">
        <v>20401.439999999999</v>
      </c>
      <c r="P19" s="3560">
        <v>7168</v>
      </c>
      <c r="Q19" s="3560">
        <v>0</v>
      </c>
      <c r="R19" s="3560" t="s">
        <v>3428</v>
      </c>
    </row>
    <row r="20" spans="1:18">
      <c r="A20" s="3559" t="s">
        <v>3427</v>
      </c>
      <c r="B20" s="3560" t="s">
        <v>3426</v>
      </c>
      <c r="C20" s="3560" t="s">
        <v>3425</v>
      </c>
      <c r="D20" s="3560" t="s">
        <v>3424</v>
      </c>
      <c r="E20" s="3560" t="s">
        <v>3423</v>
      </c>
      <c r="F20" s="3560">
        <v>3582.72</v>
      </c>
      <c r="G20" s="3560">
        <v>9229.7900000000009</v>
      </c>
      <c r="H20" s="3560" t="s">
        <v>3422</v>
      </c>
      <c r="I20" s="3560" t="s">
        <v>3421</v>
      </c>
      <c r="J20" s="3560" t="s">
        <v>3420</v>
      </c>
      <c r="K20" s="3560" t="s">
        <v>3419</v>
      </c>
      <c r="L20" s="3560" t="s">
        <v>3418</v>
      </c>
      <c r="M20" s="3560" t="s">
        <v>3417</v>
      </c>
      <c r="N20" s="3560">
        <v>1470</v>
      </c>
      <c r="O20" s="3560">
        <v>4103.0200000000004</v>
      </c>
      <c r="P20" s="3560">
        <v>1593</v>
      </c>
      <c r="Q20" s="3560">
        <v>0</v>
      </c>
      <c r="R20" s="3560" t="s">
        <v>3416</v>
      </c>
    </row>
    <row r="79" spans="1:18">
      <c r="A79" s="3169"/>
      <c r="B79" s="3169"/>
      <c r="C79" s="3169"/>
      <c r="D79" s="3169"/>
      <c r="E79" s="3169"/>
      <c r="F79" s="3169"/>
      <c r="G79" s="3169"/>
      <c r="H79" s="3169"/>
      <c r="I79" s="3169"/>
      <c r="J79" s="3169"/>
      <c r="K79" s="3169"/>
      <c r="L79" s="3169"/>
      <c r="M79" s="3169"/>
      <c r="N79" s="3169"/>
      <c r="O79" s="3169"/>
      <c r="P79" s="3169"/>
      <c r="Q79" s="3169"/>
      <c r="R79" s="3169"/>
    </row>
    <row r="111" spans="1:18">
      <c r="A111" s="3169"/>
      <c r="B111" s="3169"/>
      <c r="C111" s="3169"/>
      <c r="D111" s="3169"/>
      <c r="E111" s="3169"/>
      <c r="F111" s="3169"/>
      <c r="G111" s="3169"/>
      <c r="H111" s="3169"/>
      <c r="I111" s="3169"/>
      <c r="J111" s="3169"/>
      <c r="K111" s="3169"/>
      <c r="L111" s="3169"/>
      <c r="M111" s="3169"/>
      <c r="N111" s="3169"/>
      <c r="O111" s="3169"/>
      <c r="P111" s="3169"/>
      <c r="Q111" s="3169"/>
      <c r="R111" s="3169"/>
    </row>
  </sheetData>
  <mergeCells count="358">
    <mergeCell ref="R2"/>
    <mergeCell ref="N2"/>
    <mergeCell ref="O2"/>
    <mergeCell ref="P2"/>
    <mergeCell ref="Q2"/>
    <mergeCell ref="A1"/>
    <mergeCell ref="B1"/>
    <mergeCell ref="C1"/>
    <mergeCell ref="D1"/>
    <mergeCell ref="E1"/>
    <mergeCell ref="F1"/>
    <mergeCell ref="R1"/>
    <mergeCell ref="N1"/>
    <mergeCell ref="O1"/>
    <mergeCell ref="P1"/>
    <mergeCell ref="I1"/>
    <mergeCell ref="Q1"/>
    <mergeCell ref="B2"/>
    <mergeCell ref="C2"/>
    <mergeCell ref="D2"/>
    <mergeCell ref="E2"/>
    <mergeCell ref="F2"/>
    <mergeCell ref="G2"/>
    <mergeCell ref="H2"/>
    <mergeCell ref="I2"/>
    <mergeCell ref="J2"/>
    <mergeCell ref="K2"/>
    <mergeCell ref="L2"/>
    <mergeCell ref="M2"/>
    <mergeCell ref="J1"/>
    <mergeCell ref="K1"/>
    <mergeCell ref="L1"/>
    <mergeCell ref="M1"/>
    <mergeCell ref="J3"/>
    <mergeCell ref="K3"/>
    <mergeCell ref="L3"/>
    <mergeCell ref="M3"/>
    <mergeCell ref="R3"/>
    <mergeCell ref="Q3"/>
    <mergeCell ref="P3"/>
    <mergeCell ref="H4"/>
    <mergeCell ref="I4"/>
    <mergeCell ref="J4"/>
    <mergeCell ref="K4"/>
    <mergeCell ref="L4"/>
    <mergeCell ref="M4"/>
    <mergeCell ref="H3"/>
    <mergeCell ref="N3"/>
    <mergeCell ref="O3"/>
    <mergeCell ref="I3"/>
    <mergeCell ref="A5"/>
    <mergeCell ref="B5"/>
    <mergeCell ref="C5"/>
    <mergeCell ref="D5"/>
    <mergeCell ref="E5"/>
    <mergeCell ref="F5"/>
    <mergeCell ref="G5"/>
    <mergeCell ref="G1"/>
    <mergeCell ref="H1"/>
    <mergeCell ref="E3"/>
    <mergeCell ref="F3"/>
    <mergeCell ref="G3"/>
    <mergeCell ref="A3"/>
    <mergeCell ref="B3"/>
    <mergeCell ref="C3"/>
    <mergeCell ref="D3"/>
    <mergeCell ref="A4"/>
    <mergeCell ref="B4"/>
    <mergeCell ref="C4"/>
    <mergeCell ref="D4"/>
    <mergeCell ref="E4"/>
    <mergeCell ref="F4"/>
    <mergeCell ref="G4"/>
    <mergeCell ref="H5"/>
    <mergeCell ref="K5"/>
    <mergeCell ref="L5"/>
    <mergeCell ref="M5"/>
    <mergeCell ref="R5"/>
    <mergeCell ref="P5"/>
    <mergeCell ref="N5"/>
    <mergeCell ref="O5"/>
    <mergeCell ref="N7"/>
    <mergeCell ref="O7"/>
    <mergeCell ref="I5"/>
    <mergeCell ref="R4"/>
    <mergeCell ref="N4"/>
    <mergeCell ref="O4"/>
    <mergeCell ref="P4"/>
    <mergeCell ref="Q4"/>
    <mergeCell ref="A6"/>
    <mergeCell ref="B6"/>
    <mergeCell ref="C6"/>
    <mergeCell ref="D6"/>
    <mergeCell ref="E6"/>
    <mergeCell ref="F6"/>
    <mergeCell ref="G6"/>
    <mergeCell ref="J6"/>
    <mergeCell ref="K6"/>
    <mergeCell ref="L6"/>
    <mergeCell ref="M6"/>
    <mergeCell ref="Q5"/>
    <mergeCell ref="R6"/>
    <mergeCell ref="N6"/>
    <mergeCell ref="O6"/>
    <mergeCell ref="P6"/>
    <mergeCell ref="Q6"/>
    <mergeCell ref="J5"/>
    <mergeCell ref="A7"/>
    <mergeCell ref="B7"/>
    <mergeCell ref="C7"/>
    <mergeCell ref="D7"/>
    <mergeCell ref="E7"/>
    <mergeCell ref="F7"/>
    <mergeCell ref="G7"/>
    <mergeCell ref="H6"/>
    <mergeCell ref="I6"/>
    <mergeCell ref="H7"/>
    <mergeCell ref="I7"/>
    <mergeCell ref="R8"/>
    <mergeCell ref="N8"/>
    <mergeCell ref="O8"/>
    <mergeCell ref="P8"/>
    <mergeCell ref="Q8"/>
    <mergeCell ref="J7"/>
    <mergeCell ref="K7"/>
    <mergeCell ref="L7"/>
    <mergeCell ref="M7"/>
    <mergeCell ref="R7"/>
    <mergeCell ref="Q7"/>
    <mergeCell ref="P7"/>
    <mergeCell ref="H8"/>
    <mergeCell ref="I8"/>
    <mergeCell ref="J8"/>
    <mergeCell ref="K8"/>
    <mergeCell ref="L8"/>
    <mergeCell ref="M8"/>
    <mergeCell ref="G9"/>
    <mergeCell ref="H9"/>
    <mergeCell ref="I9"/>
    <mergeCell ref="J9"/>
    <mergeCell ref="K9"/>
    <mergeCell ref="L9"/>
    <mergeCell ref="M9"/>
    <mergeCell ref="B8"/>
    <mergeCell ref="C8"/>
    <mergeCell ref="D8"/>
    <mergeCell ref="E8"/>
    <mergeCell ref="F8"/>
    <mergeCell ref="G8"/>
    <mergeCell ref="A9"/>
    <mergeCell ref="B9"/>
    <mergeCell ref="C9"/>
    <mergeCell ref="D9"/>
    <mergeCell ref="E9"/>
    <mergeCell ref="F9"/>
    <mergeCell ref="R9"/>
    <mergeCell ref="N9"/>
    <mergeCell ref="O9"/>
    <mergeCell ref="P9"/>
    <mergeCell ref="M10"/>
    <mergeCell ref="R10"/>
    <mergeCell ref="N10"/>
    <mergeCell ref="O10"/>
    <mergeCell ref="P10"/>
    <mergeCell ref="Q10"/>
    <mergeCell ref="Q9"/>
    <mergeCell ref="G10"/>
    <mergeCell ref="H10"/>
    <mergeCell ref="I10"/>
    <mergeCell ref="J10"/>
    <mergeCell ref="K10"/>
    <mergeCell ref="L10"/>
    <mergeCell ref="G11"/>
    <mergeCell ref="H11"/>
    <mergeCell ref="I11"/>
    <mergeCell ref="J11"/>
    <mergeCell ref="K11"/>
    <mergeCell ref="L11"/>
    <mergeCell ref="A10"/>
    <mergeCell ref="B10"/>
    <mergeCell ref="C10"/>
    <mergeCell ref="D10"/>
    <mergeCell ref="E10"/>
    <mergeCell ref="F10"/>
    <mergeCell ref="A11"/>
    <mergeCell ref="B11"/>
    <mergeCell ref="C11"/>
    <mergeCell ref="D11"/>
    <mergeCell ref="E11"/>
    <mergeCell ref="F11"/>
    <mergeCell ref="M11"/>
    <mergeCell ref="R11"/>
    <mergeCell ref="N11"/>
    <mergeCell ref="O11"/>
    <mergeCell ref="P11"/>
    <mergeCell ref="M12"/>
    <mergeCell ref="R12"/>
    <mergeCell ref="N12"/>
    <mergeCell ref="O12"/>
    <mergeCell ref="P12"/>
    <mergeCell ref="Q12"/>
    <mergeCell ref="Q11"/>
    <mergeCell ref="G12"/>
    <mergeCell ref="H12"/>
    <mergeCell ref="I12"/>
    <mergeCell ref="J12"/>
    <mergeCell ref="K12"/>
    <mergeCell ref="L12"/>
    <mergeCell ref="G13"/>
    <mergeCell ref="H13"/>
    <mergeCell ref="I13"/>
    <mergeCell ref="J13"/>
    <mergeCell ref="K13"/>
    <mergeCell ref="L13"/>
    <mergeCell ref="A12"/>
    <mergeCell ref="B12"/>
    <mergeCell ref="C12"/>
    <mergeCell ref="D12"/>
    <mergeCell ref="E12"/>
    <mergeCell ref="F12"/>
    <mergeCell ref="A13"/>
    <mergeCell ref="B13"/>
    <mergeCell ref="C13"/>
    <mergeCell ref="D13"/>
    <mergeCell ref="E13"/>
    <mergeCell ref="F13"/>
    <mergeCell ref="M13"/>
    <mergeCell ref="R13"/>
    <mergeCell ref="N13"/>
    <mergeCell ref="O13"/>
    <mergeCell ref="P13"/>
    <mergeCell ref="M14"/>
    <mergeCell ref="R14"/>
    <mergeCell ref="N14"/>
    <mergeCell ref="O14"/>
    <mergeCell ref="P14"/>
    <mergeCell ref="Q14"/>
    <mergeCell ref="Q13"/>
    <mergeCell ref="G14"/>
    <mergeCell ref="H14"/>
    <mergeCell ref="I14"/>
    <mergeCell ref="J14"/>
    <mergeCell ref="K14"/>
    <mergeCell ref="L14"/>
    <mergeCell ref="G15"/>
    <mergeCell ref="H15"/>
    <mergeCell ref="I15"/>
    <mergeCell ref="J15"/>
    <mergeCell ref="K15"/>
    <mergeCell ref="L15"/>
    <mergeCell ref="A14"/>
    <mergeCell ref="B14"/>
    <mergeCell ref="C14"/>
    <mergeCell ref="D14"/>
    <mergeCell ref="E14"/>
    <mergeCell ref="F14"/>
    <mergeCell ref="A15"/>
    <mergeCell ref="B15"/>
    <mergeCell ref="C15"/>
    <mergeCell ref="D15"/>
    <mergeCell ref="E15"/>
    <mergeCell ref="F15"/>
    <mergeCell ref="M15"/>
    <mergeCell ref="R15"/>
    <mergeCell ref="N15"/>
    <mergeCell ref="O15"/>
    <mergeCell ref="P15"/>
    <mergeCell ref="M16"/>
    <mergeCell ref="R16"/>
    <mergeCell ref="N16"/>
    <mergeCell ref="O16"/>
    <mergeCell ref="P16"/>
    <mergeCell ref="Q16"/>
    <mergeCell ref="Q15"/>
    <mergeCell ref="G16"/>
    <mergeCell ref="H16"/>
    <mergeCell ref="I16"/>
    <mergeCell ref="J16"/>
    <mergeCell ref="K16"/>
    <mergeCell ref="L16"/>
    <mergeCell ref="G17"/>
    <mergeCell ref="H17"/>
    <mergeCell ref="I17"/>
    <mergeCell ref="J17"/>
    <mergeCell ref="K17"/>
    <mergeCell ref="L17"/>
    <mergeCell ref="A16"/>
    <mergeCell ref="B16"/>
    <mergeCell ref="C16"/>
    <mergeCell ref="D16"/>
    <mergeCell ref="E16"/>
    <mergeCell ref="F16"/>
    <mergeCell ref="A17"/>
    <mergeCell ref="B17"/>
    <mergeCell ref="C17"/>
    <mergeCell ref="D17"/>
    <mergeCell ref="E17"/>
    <mergeCell ref="F17"/>
    <mergeCell ref="M17"/>
    <mergeCell ref="R17"/>
    <mergeCell ref="N17"/>
    <mergeCell ref="O17"/>
    <mergeCell ref="P17"/>
    <mergeCell ref="M18"/>
    <mergeCell ref="R18"/>
    <mergeCell ref="N18"/>
    <mergeCell ref="O18"/>
    <mergeCell ref="P18"/>
    <mergeCell ref="Q18"/>
    <mergeCell ref="Q17"/>
    <mergeCell ref="G18"/>
    <mergeCell ref="H18"/>
    <mergeCell ref="I18"/>
    <mergeCell ref="J18"/>
    <mergeCell ref="K18"/>
    <mergeCell ref="L18"/>
    <mergeCell ref="G19"/>
    <mergeCell ref="H19"/>
    <mergeCell ref="I19"/>
    <mergeCell ref="J19"/>
    <mergeCell ref="K19"/>
    <mergeCell ref="L19"/>
    <mergeCell ref="A18"/>
    <mergeCell ref="B18"/>
    <mergeCell ref="C18"/>
    <mergeCell ref="D18"/>
    <mergeCell ref="E18"/>
    <mergeCell ref="F18"/>
    <mergeCell ref="A19"/>
    <mergeCell ref="B19"/>
    <mergeCell ref="C19"/>
    <mergeCell ref="D19"/>
    <mergeCell ref="E19"/>
    <mergeCell ref="F19"/>
    <mergeCell ref="M19"/>
    <mergeCell ref="R19"/>
    <mergeCell ref="N19"/>
    <mergeCell ref="O19"/>
    <mergeCell ref="P19"/>
    <mergeCell ref="J20"/>
    <mergeCell ref="K20"/>
    <mergeCell ref="L20"/>
    <mergeCell ref="M20"/>
    <mergeCell ref="R20"/>
    <mergeCell ref="N20"/>
    <mergeCell ref="O20"/>
    <mergeCell ref="P20"/>
    <mergeCell ref="Q20"/>
    <mergeCell ref="Q19"/>
    <mergeCell ref="A20"/>
    <mergeCell ref="B20"/>
    <mergeCell ref="C20"/>
    <mergeCell ref="D20"/>
    <mergeCell ref="E20"/>
    <mergeCell ref="F20"/>
    <mergeCell ref="G20"/>
    <mergeCell ref="H20"/>
    <mergeCell ref="I20"/>
  </mergeCells>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24"/>
  <sheetViews>
    <sheetView topLeftCell="C13" workbookViewId="0">
      <selection activeCell="O37" sqref="O37"/>
    </sheetView>
  </sheetViews>
  <sheetFormatPr defaultRowHeight="13.5"/>
  <sheetData>
    <row r="1" spans="1:1">
      <c r="A1" t="s">
        <v>3591</v>
      </c>
    </row>
    <row r="24" spans="15:15">
      <c r="O24" s="1404"/>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9.5" thickBot="1">
      <c r="A4" s="1390"/>
      <c r="B4" s="3252" t="s">
        <v>917</v>
      </c>
      <c r="C4" s="3252"/>
      <c r="D4" s="3252"/>
      <c r="E4" s="1390"/>
    </row>
    <row r="5" spans="1:5" ht="16.5" thickTop="1">
      <c r="B5" s="3250" t="s">
        <v>909</v>
      </c>
      <c r="C5" s="1391" t="s">
        <v>910</v>
      </c>
      <c r="D5" s="797">
        <f ca="1">结果表!H101</f>
        <v>301092</v>
      </c>
    </row>
    <row r="6" spans="1:5" ht="15.75">
      <c r="B6" s="3250"/>
      <c r="C6" s="1391" t="s">
        <v>911</v>
      </c>
      <c r="D6" s="797" t="str">
        <f ca="1">NUMBERSTRING(INT(D5*10000),2)&amp;"元整"</f>
        <v>叁拾亿壹仟零玖拾贰万元整</v>
      </c>
    </row>
    <row r="7" spans="1:5" ht="15.75">
      <c r="B7" s="3255"/>
      <c r="C7" s="1392" t="s">
        <v>912</v>
      </c>
      <c r="D7" s="798">
        <f ca="1">结果表!H102</f>
        <v>11954</v>
      </c>
    </row>
    <row r="8" spans="1:5" ht="15.75">
      <c r="B8" s="3256" t="str">
        <f>结果表!E103</f>
        <v>2.估价师知悉的法定优先受偿款</v>
      </c>
      <c r="C8" s="1393" t="s">
        <v>913</v>
      </c>
      <c r="D8" s="798">
        <f>结果表!H103</f>
        <v>0</v>
      </c>
    </row>
    <row r="9" spans="1:5" ht="15.75">
      <c r="B9" s="325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49" t="str">
        <f>结果表!E107</f>
        <v>3.房地产抵押价值</v>
      </c>
      <c r="C13" s="1396" t="s">
        <v>910</v>
      </c>
      <c r="D13" s="800">
        <f ca="1">结果表!H107</f>
        <v>301092</v>
      </c>
    </row>
    <row r="14" spans="1:5" ht="15.75">
      <c r="B14" s="3250"/>
      <c r="C14" s="1391" t="s">
        <v>911</v>
      </c>
      <c r="D14" s="797" t="str">
        <f ca="1">NUMBERSTRING(INT(D13*10000),2)&amp;"元整"</f>
        <v>叁拾亿壹仟零玖拾贰万元整</v>
      </c>
    </row>
    <row r="15" spans="1:5" ht="15">
      <c r="B15" s="3255"/>
      <c r="C15" s="1392" t="s">
        <v>921</v>
      </c>
      <c r="D15" s="806">
        <f ca="1">结果表!H108</f>
        <v>11954</v>
      </c>
    </row>
    <row r="16" spans="1:5" ht="15">
      <c r="B16" s="3256" t="str">
        <f>结果表!E109</f>
        <v>——</v>
      </c>
      <c r="C16" s="1396" t="s">
        <v>922</v>
      </c>
      <c r="D16" s="1397" t="str">
        <f>结果表!H109</f>
        <v>——</v>
      </c>
    </row>
    <row r="17" spans="1:5" ht="15.75">
      <c r="B17" s="3257"/>
      <c r="C17" s="1391" t="s">
        <v>923</v>
      </c>
      <c r="D17" s="797" t="e">
        <f>NUMBERSTRING(INT(D16*10000),2)&amp;"元整"</f>
        <v>#VALUE!</v>
      </c>
    </row>
    <row r="18" spans="1:5" ht="15">
      <c r="B18" s="3258"/>
      <c r="C18" s="1392" t="s">
        <v>912</v>
      </c>
      <c r="D18" s="806" t="str">
        <f>结果表!H110</f>
        <v>——</v>
      </c>
    </row>
    <row r="19" spans="1:5" ht="15.75">
      <c r="B19" s="3249" t="str">
        <f>结果表!E111</f>
        <v>——</v>
      </c>
      <c r="C19" s="1396" t="s">
        <v>910</v>
      </c>
      <c r="D19" s="798" t="str">
        <f>结果表!H111</f>
        <v>——</v>
      </c>
    </row>
    <row r="20" spans="1:5" ht="15.75">
      <c r="B20" s="3250"/>
      <c r="C20" s="1391" t="s">
        <v>923</v>
      </c>
      <c r="D20" s="797" t="e">
        <f>NUMBERSTRING(INT(D19*10000),2)&amp;"元整"</f>
        <v>#VALUE!</v>
      </c>
    </row>
    <row r="21" spans="1:5" ht="15.75" thickBot="1">
      <c r="B21" s="325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S119"/>
  <sheetViews>
    <sheetView topLeftCell="F1" zoomScale="70" zoomScaleNormal="70" workbookViewId="0">
      <selection activeCell="L7" sqref="L7"/>
    </sheetView>
  </sheetViews>
  <sheetFormatPr defaultColWidth="7.875" defaultRowHeight="16.5"/>
  <cols>
    <col min="1" max="1" width="10.125" style="3193" customWidth="1"/>
    <col min="2" max="2" width="22.5" style="3193" customWidth="1"/>
    <col min="3" max="3" width="22.375" style="3193" customWidth="1"/>
    <col min="4" max="4" width="24.75" style="3193" customWidth="1"/>
    <col min="5" max="12" width="22.375" style="3193" customWidth="1"/>
    <col min="13" max="19" width="12.5" style="3193" customWidth="1"/>
    <col min="20" max="16384" width="7.875" style="3193"/>
  </cols>
  <sheetData>
    <row r="1" spans="2:19">
      <c r="M1" s="3193" t="s">
        <v>3638</v>
      </c>
    </row>
    <row r="2" spans="2:19">
      <c r="B2" s="3192" t="s">
        <v>3626</v>
      </c>
      <c r="M2" s="3193">
        <v>251875.16</v>
      </c>
    </row>
    <row r="3" spans="2:19">
      <c r="B3" s="3567"/>
      <c r="C3" s="3568" t="s">
        <v>3627</v>
      </c>
      <c r="D3" s="3568"/>
      <c r="E3" s="3568"/>
      <c r="F3" s="3568"/>
      <c r="G3" s="3568"/>
      <c r="H3" s="3568"/>
      <c r="I3" s="3568"/>
      <c r="J3" s="3568"/>
      <c r="K3" s="3568"/>
      <c r="L3" s="3568"/>
      <c r="M3" s="3244"/>
      <c r="N3" s="3244">
        <v>2025</v>
      </c>
      <c r="O3" s="3244">
        <v>2026</v>
      </c>
      <c r="P3" s="3244">
        <v>2027</v>
      </c>
      <c r="Q3" s="3244">
        <v>2028</v>
      </c>
      <c r="R3" s="3244">
        <v>2029</v>
      </c>
      <c r="S3" s="3245">
        <v>2030</v>
      </c>
    </row>
    <row r="4" spans="2:19">
      <c r="B4" s="3567"/>
      <c r="C4" s="3194" t="s">
        <v>3628</v>
      </c>
      <c r="D4" s="3194" t="s">
        <v>3629</v>
      </c>
      <c r="E4" s="3194" t="s">
        <v>3630</v>
      </c>
      <c r="F4" s="3194" t="s">
        <v>3631</v>
      </c>
      <c r="G4" s="3194" t="s">
        <v>3632</v>
      </c>
      <c r="H4" s="3194" t="s">
        <v>3633</v>
      </c>
      <c r="I4" s="3194" t="s">
        <v>3634</v>
      </c>
      <c r="J4" s="3194" t="s">
        <v>3635</v>
      </c>
      <c r="K4" s="3194" t="s">
        <v>3636</v>
      </c>
      <c r="L4" s="3194" t="s">
        <v>3637</v>
      </c>
      <c r="M4" s="3244" t="s">
        <v>3743</v>
      </c>
      <c r="N4" s="3244">
        <v>503.43171108089803</v>
      </c>
      <c r="O4" s="3244">
        <v>521.44702068179913</v>
      </c>
      <c r="P4" s="3244">
        <v>531.21873997850719</v>
      </c>
      <c r="Q4" s="3244">
        <v>482.27154166895713</v>
      </c>
      <c r="R4" s="3244">
        <v>643.99250078921307</v>
      </c>
      <c r="S4" s="3245">
        <v>504.65868516885035</v>
      </c>
    </row>
    <row r="5" spans="2:19">
      <c r="B5" s="3195" t="s">
        <v>3639</v>
      </c>
      <c r="C5" s="3196">
        <v>0.80665608891625395</v>
      </c>
      <c r="D5" s="3196">
        <v>0.84206773053579098</v>
      </c>
      <c r="E5" s="3196">
        <v>0.88518770898372501</v>
      </c>
      <c r="F5" s="3196">
        <v>0.971007717541163</v>
      </c>
      <c r="G5" s="3196">
        <v>0.90477473337242298</v>
      </c>
      <c r="H5" s="3196">
        <v>0.73860196821070301</v>
      </c>
      <c r="I5" s="3196">
        <v>0.960216483893364</v>
      </c>
      <c r="J5" s="3196">
        <v>0.96499999999999997</v>
      </c>
      <c r="K5" s="3196">
        <v>0.96165867372250702</v>
      </c>
      <c r="L5" s="3196">
        <v>0.96709999999999996</v>
      </c>
      <c r="M5" s="3244" t="s">
        <v>3744</v>
      </c>
      <c r="N5" s="3244">
        <v>21174.423494315997</v>
      </c>
      <c r="O5" s="3244">
        <v>21468.405673905563</v>
      </c>
      <c r="P5" s="3244">
        <v>21735.918969820465</v>
      </c>
      <c r="Q5" s="3244">
        <v>22102.72530257648</v>
      </c>
      <c r="R5" s="3244">
        <v>22266.609394830808</v>
      </c>
      <c r="S5" s="3245">
        <v>22816.254427725395</v>
      </c>
    </row>
    <row r="6" spans="2:19">
      <c r="B6" s="3197" t="s">
        <v>3640</v>
      </c>
      <c r="C6" s="3198">
        <v>572.79999999999995</v>
      </c>
      <c r="D6" s="3198">
        <v>8161.1</v>
      </c>
      <c r="E6" s="3198">
        <v>11681.3</v>
      </c>
      <c r="F6" s="3198">
        <v>15661</v>
      </c>
      <c r="G6" s="3198">
        <v>17530.5</v>
      </c>
      <c r="H6" s="3198">
        <v>11203.7</v>
      </c>
      <c r="I6" s="3198">
        <v>17640.900000000001</v>
      </c>
      <c r="J6" s="3198">
        <v>20433.400000000001</v>
      </c>
      <c r="K6" s="3198">
        <v>18875.676340999999</v>
      </c>
      <c r="L6" s="3198">
        <v>19921.400000000001</v>
      </c>
      <c r="M6" s="3244" t="s">
        <v>3745</v>
      </c>
      <c r="N6" s="3244">
        <f>ROUND(N5/365/$M$2*10000,2)</f>
        <v>2.2999999999999998</v>
      </c>
      <c r="O6" s="3244">
        <f t="shared" ref="O6:S6" si="0">ROUND(O5/365/$M$2*10000,2)</f>
        <v>2.34</v>
      </c>
      <c r="P6" s="3244">
        <f t="shared" si="0"/>
        <v>2.36</v>
      </c>
      <c r="Q6" s="3244">
        <f t="shared" si="0"/>
        <v>2.4</v>
      </c>
      <c r="R6" s="3244">
        <f t="shared" si="0"/>
        <v>2.42</v>
      </c>
      <c r="S6" s="3244">
        <f t="shared" si="0"/>
        <v>2.48</v>
      </c>
    </row>
    <row r="7" spans="2:19">
      <c r="L7" s="3199">
        <f>L6/365/M2*10000</f>
        <v>2.1669138823451979</v>
      </c>
      <c r="N7" s="3246">
        <f>N6/L7-1</f>
        <v>6.1417354302408134E-2</v>
      </c>
      <c r="O7" s="3246">
        <f>O6/N6-1</f>
        <v>1.7391304347826209E-2</v>
      </c>
      <c r="P7" s="3246">
        <f t="shared" ref="P7:S7" si="1">P6/O6-1</f>
        <v>8.5470085470085166E-3</v>
      </c>
      <c r="Q7" s="3246">
        <f t="shared" si="1"/>
        <v>1.6949152542372836E-2</v>
      </c>
      <c r="R7" s="3246">
        <f t="shared" si="1"/>
        <v>8.3333333333333037E-3</v>
      </c>
      <c r="S7" s="3246">
        <f t="shared" si="1"/>
        <v>2.4793388429751984E-2</v>
      </c>
    </row>
    <row r="8" spans="2:19">
      <c r="B8" s="3567"/>
      <c r="C8" s="3569" t="s">
        <v>3641</v>
      </c>
      <c r="D8" s="3569"/>
      <c r="E8" s="3569"/>
      <c r="F8" s="3569"/>
      <c r="G8" s="3569"/>
      <c r="H8" s="3569"/>
      <c r="N8" s="3246">
        <f>AVERAGE(N7:S7)</f>
        <v>2.2905256917116829E-2</v>
      </c>
      <c r="O8" s="3246"/>
    </row>
    <row r="9" spans="2:19">
      <c r="B9" s="3567"/>
      <c r="C9" s="3200" t="s">
        <v>3642</v>
      </c>
      <c r="D9" s="3200" t="s">
        <v>3643</v>
      </c>
      <c r="E9" s="3200" t="s">
        <v>3644</v>
      </c>
      <c r="F9" s="3200" t="s">
        <v>3645</v>
      </c>
      <c r="G9" s="3200" t="s">
        <v>3646</v>
      </c>
      <c r="H9" s="3200" t="s">
        <v>3647</v>
      </c>
    </row>
    <row r="10" spans="2:19">
      <c r="B10" s="3195" t="s">
        <v>3639</v>
      </c>
      <c r="C10" s="3196">
        <f>L5</f>
        <v>0.96709999999999996</v>
      </c>
      <c r="D10" s="3196">
        <f>C10</f>
        <v>0.96709999999999996</v>
      </c>
      <c r="E10" s="3196">
        <f>D10</f>
        <v>0.96709999999999996</v>
      </c>
      <c r="F10" s="3196">
        <f>E10</f>
        <v>0.96709999999999996</v>
      </c>
      <c r="G10" s="3196">
        <f>F10</f>
        <v>0.96709999999999996</v>
      </c>
      <c r="H10" s="3196">
        <f>G10</f>
        <v>0.96709999999999996</v>
      </c>
    </row>
    <row r="11" spans="2:19">
      <c r="B11" s="3197" t="s">
        <v>3640</v>
      </c>
      <c r="C11" s="3201">
        <f>[11]一铺一价计算!BM343/1.05/[11]一铺一价计算!$D$341*核心假设及结论!C10</f>
        <v>20612.891952012505</v>
      </c>
      <c r="D11" s="3201">
        <f>[11]一铺一价计算!BN343/1.05/[11]一铺一价计算!$D$341*核心假设及结论!D10</f>
        <v>20899.077920916145</v>
      </c>
      <c r="E11" s="3201">
        <f>[11]一铺一价计算!BO343/1.05/[11]一铺一价计算!$D$341*核心假设及结论!E10</f>
        <v>21159.496943228645</v>
      </c>
      <c r="F11" s="3201">
        <f>[11]一铺一价计算!BP343/1.05/[11]一铺一价计算!$D$341*核心假设及结论!F10</f>
        <v>21516.575817486701</v>
      </c>
      <c r="G11" s="3201">
        <f>[11]一铺一价计算!BQ343/1.05/[11]一铺一价计算!$D$341*核心假设及结论!G10</f>
        <v>21676.113813276712</v>
      </c>
      <c r="H11" s="3201">
        <f>[11]一铺一价计算!BR343/1.05/[11]一铺一价计算!$D$341*核心假设及结论!H10</f>
        <v>22211.18262769132</v>
      </c>
      <c r="I11" s="3202" t="s">
        <v>3648</v>
      </c>
    </row>
    <row r="12" spans="2:19">
      <c r="B12" s="3197" t="s">
        <v>3649</v>
      </c>
      <c r="C12" s="3203">
        <f>C11/L6-1</f>
        <v>3.4711011877303077E-2</v>
      </c>
      <c r="D12" s="3203">
        <f>D11/C11-1</f>
        <v>1.3883833940908863E-2</v>
      </c>
      <c r="E12" s="3203">
        <f t="shared" ref="E12:H12" si="2">E11/D11-1</f>
        <v>1.2460790054850568E-2</v>
      </c>
      <c r="F12" s="3203">
        <f t="shared" si="2"/>
        <v>1.6875584292769474E-2</v>
      </c>
      <c r="G12" s="3203">
        <f t="shared" si="2"/>
        <v>7.4146554332474857E-3</v>
      </c>
      <c r="H12" s="3203">
        <f t="shared" si="2"/>
        <v>2.4684720657209169E-2</v>
      </c>
      <c r="I12" s="3202">
        <f>(H11/L6)^(1/6)-1</f>
        <v>1.8298970166023665E-2</v>
      </c>
    </row>
    <row r="13" spans="2:19">
      <c r="B13" s="3204"/>
      <c r="C13" s="3205"/>
      <c r="D13" s="3205"/>
      <c r="E13" s="3205"/>
      <c r="F13" s="3205"/>
      <c r="G13" s="3205"/>
      <c r="H13" s="3205"/>
    </row>
    <row r="14" spans="2:19">
      <c r="B14" s="3192" t="s">
        <v>3650</v>
      </c>
    </row>
    <row r="15" spans="2:19" ht="23.65" customHeight="1">
      <c r="B15" s="3206" t="s">
        <v>3651</v>
      </c>
      <c r="C15" s="3206" t="s">
        <v>3652</v>
      </c>
      <c r="D15" s="3206" t="s">
        <v>3653</v>
      </c>
      <c r="E15" s="3207" t="s">
        <v>3654</v>
      </c>
    </row>
    <row r="16" spans="2:19" ht="33">
      <c r="B16" s="3208" t="s">
        <v>3655</v>
      </c>
      <c r="C16" s="3209"/>
      <c r="D16" s="3210">
        <v>0.5</v>
      </c>
      <c r="E16" s="3211"/>
    </row>
    <row r="17" spans="1:7">
      <c r="B17" s="3212" t="s">
        <v>3656</v>
      </c>
      <c r="C17" s="3213">
        <f>'[11]g0 存续租期内租金增幅'!O2</f>
        <v>3.7378635533536354E-2</v>
      </c>
      <c r="D17" s="3213">
        <f>C17*$D$16</f>
        <v>1.8689317766768177E-2</v>
      </c>
      <c r="E17" s="3214">
        <f>D17+1</f>
        <v>1.0186893177667682</v>
      </c>
    </row>
    <row r="18" spans="1:7">
      <c r="B18" s="3212" t="s">
        <v>3657</v>
      </c>
      <c r="C18" s="3213">
        <f>'[11]g0 存续租期内租金增幅'!O3</f>
        <v>4.0949858915552945E-2</v>
      </c>
      <c r="D18" s="3213">
        <f t="shared" ref="D18:D21" si="3">C18*$D$16</f>
        <v>2.0474929457776472E-2</v>
      </c>
      <c r="E18" s="3214">
        <f t="shared" ref="E18:E21" si="4">D18+1</f>
        <v>1.0204749294577764</v>
      </c>
    </row>
    <row r="19" spans="1:7">
      <c r="B19" s="3212" t="s">
        <v>3658</v>
      </c>
      <c r="C19" s="3213">
        <f>'[11]g0 存续租期内租金增幅'!O4</f>
        <v>4.0533766522599435E-2</v>
      </c>
      <c r="D19" s="3213">
        <f t="shared" si="3"/>
        <v>2.0266883261299717E-2</v>
      </c>
      <c r="E19" s="3214">
        <f t="shared" si="4"/>
        <v>1.0202668832612998</v>
      </c>
    </row>
    <row r="20" spans="1:7">
      <c r="B20" s="3212" t="s">
        <v>3659</v>
      </c>
      <c r="C20" s="3213">
        <f>'[11]g0 存续租期内租金增幅'!O7</f>
        <v>3.8698883305627492E-2</v>
      </c>
      <c r="D20" s="3213">
        <f t="shared" si="3"/>
        <v>1.9349441652813746E-2</v>
      </c>
      <c r="E20" s="3214">
        <f t="shared" si="4"/>
        <v>1.0193494416528137</v>
      </c>
    </row>
    <row r="21" spans="1:7">
      <c r="B21" s="3212" t="s">
        <v>3660</v>
      </c>
      <c r="C21" s="3213">
        <f>'[11]g0 存续租期内租金增幅'!O5</f>
        <v>2.0644637881486422E-2</v>
      </c>
      <c r="D21" s="3213">
        <f t="shared" si="3"/>
        <v>1.0322318940743211E-2</v>
      </c>
      <c r="E21" s="3214">
        <f t="shared" si="4"/>
        <v>1.0103223189407433</v>
      </c>
    </row>
    <row r="22" spans="1:7">
      <c r="B22" s="3215"/>
      <c r="C22" s="3216"/>
      <c r="D22" s="3216"/>
    </row>
    <row r="23" spans="1:7">
      <c r="A23" s="3217"/>
      <c r="B23" s="3192" t="s">
        <v>3661</v>
      </c>
    </row>
    <row r="24" spans="1:7">
      <c r="B24" s="3218" t="s">
        <v>3662</v>
      </c>
      <c r="C24" s="3218" t="s">
        <v>3663</v>
      </c>
      <c r="D24" s="3218" t="s">
        <v>3664</v>
      </c>
      <c r="E24" s="3219" t="s">
        <v>3665</v>
      </c>
      <c r="F24" s="3220"/>
      <c r="G24" s="3220"/>
    </row>
    <row r="25" spans="1:7">
      <c r="B25" s="3218" t="s">
        <v>3666</v>
      </c>
      <c r="C25" s="3221" t="s">
        <v>3667</v>
      </c>
      <c r="D25" s="3221" t="s">
        <v>3658</v>
      </c>
      <c r="E25" s="3222">
        <v>0.25</v>
      </c>
      <c r="F25" s="3223"/>
      <c r="G25" s="3223"/>
    </row>
    <row r="26" spans="1:7">
      <c r="B26" s="3218" t="s">
        <v>3668</v>
      </c>
      <c r="C26" s="3221" t="s">
        <v>3669</v>
      </c>
      <c r="D26" s="3221" t="s">
        <v>3660</v>
      </c>
      <c r="E26" s="3222">
        <v>0.09</v>
      </c>
      <c r="F26" s="3223"/>
      <c r="G26" s="3223"/>
    </row>
    <row r="27" spans="1:7">
      <c r="B27" s="3218" t="s">
        <v>3670</v>
      </c>
      <c r="C27" s="3221" t="s">
        <v>3671</v>
      </c>
      <c r="D27" s="3221" t="s">
        <v>3658</v>
      </c>
      <c r="E27" s="3222">
        <v>0.2</v>
      </c>
      <c r="F27" s="3223"/>
      <c r="G27" s="3223"/>
    </row>
    <row r="28" spans="1:7" ht="33">
      <c r="B28" s="3218" t="s">
        <v>3672</v>
      </c>
      <c r="C28" s="3221" t="s">
        <v>3673</v>
      </c>
      <c r="D28" s="3221" t="s">
        <v>3656</v>
      </c>
      <c r="E28" s="3222">
        <v>0.25</v>
      </c>
      <c r="F28" s="3223"/>
      <c r="G28" s="3223"/>
    </row>
    <row r="29" spans="1:7">
      <c r="B29" s="3218" t="s">
        <v>3674</v>
      </c>
      <c r="C29" s="3221" t="s">
        <v>3675</v>
      </c>
      <c r="D29" s="3221" t="s">
        <v>3656</v>
      </c>
      <c r="E29" s="3222">
        <v>0.2</v>
      </c>
      <c r="F29" s="3223"/>
      <c r="G29" s="3223"/>
    </row>
    <row r="30" spans="1:7">
      <c r="B30" s="3218" t="s">
        <v>3676</v>
      </c>
      <c r="C30" s="3221" t="s">
        <v>3677</v>
      </c>
      <c r="D30" s="3221" t="s">
        <v>3656</v>
      </c>
      <c r="E30" s="3222">
        <v>0.2</v>
      </c>
      <c r="F30" s="3223"/>
      <c r="G30" s="3223"/>
    </row>
    <row r="31" spans="1:7">
      <c r="B31" s="3218" t="s">
        <v>3678</v>
      </c>
      <c r="C31" s="3221" t="s">
        <v>3679</v>
      </c>
      <c r="D31" s="3221" t="s">
        <v>3656</v>
      </c>
      <c r="E31" s="3222">
        <v>0.1</v>
      </c>
      <c r="F31" s="3223"/>
      <c r="G31" s="3223"/>
    </row>
    <row r="32" spans="1:7">
      <c r="B32" s="3218" t="s">
        <v>3680</v>
      </c>
      <c r="C32" s="3221" t="s">
        <v>3657</v>
      </c>
      <c r="D32" s="3221" t="s">
        <v>3657</v>
      </c>
      <c r="E32" s="3222">
        <v>0.2</v>
      </c>
      <c r="F32" s="3223"/>
      <c r="G32" s="3223"/>
    </row>
    <row r="33" spans="2:7">
      <c r="B33" s="3218" t="s">
        <v>3681</v>
      </c>
      <c r="C33" s="3221" t="s">
        <v>3682</v>
      </c>
      <c r="D33" s="3221" t="s">
        <v>3656</v>
      </c>
      <c r="E33" s="3222">
        <v>0.25</v>
      </c>
      <c r="F33" s="3223"/>
      <c r="G33" s="3223"/>
    </row>
    <row r="34" spans="2:7">
      <c r="B34" s="3218" t="s">
        <v>3683</v>
      </c>
      <c r="C34" s="3221" t="s">
        <v>3684</v>
      </c>
      <c r="D34" s="3221" t="s">
        <v>3656</v>
      </c>
      <c r="E34" s="3222">
        <v>0.3</v>
      </c>
      <c r="F34" s="3223"/>
      <c r="G34" s="3223"/>
    </row>
    <row r="35" spans="2:7">
      <c r="B35" s="3218" t="s">
        <v>3685</v>
      </c>
      <c r="C35" s="3221" t="s">
        <v>3686</v>
      </c>
      <c r="D35" s="3221" t="s">
        <v>3656</v>
      </c>
      <c r="E35" s="3222">
        <v>0.2</v>
      </c>
      <c r="F35" s="3223"/>
      <c r="G35" s="3223"/>
    </row>
    <row r="36" spans="2:7">
      <c r="B36" s="3218" t="s">
        <v>3687</v>
      </c>
      <c r="C36" s="3221" t="s">
        <v>3688</v>
      </c>
      <c r="D36" s="3221" t="s">
        <v>3656</v>
      </c>
      <c r="E36" s="3222">
        <v>0.2</v>
      </c>
      <c r="F36" s="3223"/>
      <c r="G36" s="3223"/>
    </row>
    <row r="37" spans="2:7">
      <c r="B37" s="3218" t="s">
        <v>3689</v>
      </c>
      <c r="C37" s="3221" t="s">
        <v>3690</v>
      </c>
      <c r="D37" s="3221" t="s">
        <v>3656</v>
      </c>
      <c r="E37" s="3222">
        <v>0.2</v>
      </c>
      <c r="F37" s="3223"/>
      <c r="G37" s="3223"/>
    </row>
    <row r="38" spans="2:7" ht="33">
      <c r="B38" s="3218" t="s">
        <v>3691</v>
      </c>
      <c r="C38" s="3221" t="s">
        <v>3692</v>
      </c>
      <c r="D38" s="3221" t="s">
        <v>3656</v>
      </c>
      <c r="E38" s="3222">
        <v>0.2</v>
      </c>
      <c r="F38" s="3223"/>
      <c r="G38" s="3223"/>
    </row>
    <row r="39" spans="2:7">
      <c r="B39" s="3218" t="s">
        <v>3693</v>
      </c>
      <c r="C39" s="3221" t="s">
        <v>3694</v>
      </c>
      <c r="D39" s="3221" t="s">
        <v>3658</v>
      </c>
      <c r="E39" s="3222">
        <v>0.2</v>
      </c>
      <c r="F39" s="3223"/>
      <c r="G39" s="3223"/>
    </row>
    <row r="40" spans="2:7">
      <c r="B40" s="3218" t="s">
        <v>3695</v>
      </c>
      <c r="C40" s="3221" t="s">
        <v>3696</v>
      </c>
      <c r="D40" s="3221" t="s">
        <v>3658</v>
      </c>
      <c r="E40" s="3222">
        <v>0.25</v>
      </c>
      <c r="F40" s="3223"/>
      <c r="G40" s="3223"/>
    </row>
    <row r="41" spans="2:7">
      <c r="B41" s="3218" t="s">
        <v>3697</v>
      </c>
      <c r="C41" s="3221" t="s">
        <v>3698</v>
      </c>
      <c r="D41" s="3221" t="s">
        <v>3656</v>
      </c>
      <c r="E41" s="3222">
        <v>0.1</v>
      </c>
      <c r="F41" s="3223"/>
      <c r="G41" s="3223"/>
    </row>
    <row r="42" spans="2:7">
      <c r="B42" s="3218" t="s">
        <v>3699</v>
      </c>
      <c r="C42" s="3221" t="s">
        <v>3700</v>
      </c>
      <c r="D42" s="3221" t="s">
        <v>3660</v>
      </c>
      <c r="E42" s="3222">
        <v>0.08</v>
      </c>
      <c r="F42" s="3223"/>
      <c r="G42" s="3223"/>
    </row>
    <row r="43" spans="2:7">
      <c r="B43" s="3218" t="s">
        <v>3701</v>
      </c>
      <c r="C43" s="3221" t="s">
        <v>3702</v>
      </c>
      <c r="D43" s="3221" t="s">
        <v>3660</v>
      </c>
      <c r="E43" s="3222">
        <v>0.1</v>
      </c>
      <c r="F43" s="3223"/>
      <c r="G43" s="3223"/>
    </row>
    <row r="44" spans="2:7">
      <c r="B44" s="3218" t="s">
        <v>3669</v>
      </c>
      <c r="C44" s="3221" t="s">
        <v>3669</v>
      </c>
      <c r="D44" s="3221" t="s">
        <v>3660</v>
      </c>
      <c r="E44" s="3222">
        <v>0.08</v>
      </c>
      <c r="F44" s="3223"/>
      <c r="G44" s="3223"/>
    </row>
    <row r="45" spans="2:7">
      <c r="B45" s="3218" t="s">
        <v>3703</v>
      </c>
      <c r="C45" s="3221" t="s">
        <v>3704</v>
      </c>
      <c r="D45" s="3221" t="s">
        <v>3660</v>
      </c>
      <c r="E45" s="3222">
        <v>0.3</v>
      </c>
    </row>
    <row r="46" spans="2:7">
      <c r="B46" s="3224"/>
      <c r="C46" s="3225"/>
      <c r="D46" s="3225"/>
      <c r="E46" s="3223"/>
    </row>
    <row r="47" spans="2:7">
      <c r="B47" s="3192" t="s">
        <v>3705</v>
      </c>
    </row>
    <row r="48" spans="2:7" ht="31.5">
      <c r="B48" s="3226" t="s">
        <v>3706</v>
      </c>
      <c r="C48" s="3226" t="s">
        <v>3707</v>
      </c>
      <c r="E48" s="3570" t="s">
        <v>3708</v>
      </c>
      <c r="F48" s="3571"/>
    </row>
    <row r="49" spans="2:11">
      <c r="B49" s="3227" t="s">
        <v>3709</v>
      </c>
      <c r="C49" s="3227" t="s">
        <v>3710</v>
      </c>
      <c r="E49" s="3228" t="s">
        <v>3566</v>
      </c>
      <c r="F49" s="3228" t="s">
        <v>3711</v>
      </c>
    </row>
    <row r="50" spans="2:11">
      <c r="B50" s="3227" t="s">
        <v>3712</v>
      </c>
      <c r="C50" s="3227" t="s">
        <v>3713</v>
      </c>
      <c r="E50" s="3229" t="s">
        <v>3656</v>
      </c>
      <c r="F50" s="3230">
        <v>-3.9E-2</v>
      </c>
    </row>
    <row r="51" spans="2:11">
      <c r="B51" s="3227" t="s">
        <v>3714</v>
      </c>
      <c r="C51" s="3227" t="s">
        <v>3715</v>
      </c>
      <c r="E51" s="3229" t="s">
        <v>3657</v>
      </c>
      <c r="F51" s="3230">
        <v>8.0000000000000002E-3</v>
      </c>
    </row>
    <row r="52" spans="2:11">
      <c r="E52" s="3229" t="s">
        <v>3658</v>
      </c>
      <c r="F52" s="3231">
        <v>-0.21</v>
      </c>
    </row>
    <row r="54" spans="2:11">
      <c r="B54" s="3192" t="s">
        <v>3716</v>
      </c>
    </row>
    <row r="55" spans="2:11">
      <c r="B55" s="3564" t="s">
        <v>3717</v>
      </c>
      <c r="C55" s="3565"/>
      <c r="D55" s="3565"/>
      <c r="E55" s="3565"/>
      <c r="F55" s="3565"/>
      <c r="G55" s="3566"/>
    </row>
    <row r="56" spans="2:11">
      <c r="B56" s="3232" t="s">
        <v>3718</v>
      </c>
      <c r="C56" s="3232" t="s">
        <v>3719</v>
      </c>
      <c r="D56" s="3232" t="s">
        <v>3720</v>
      </c>
      <c r="E56" s="3232" t="s">
        <v>3721</v>
      </c>
      <c r="F56" s="3232" t="s">
        <v>3722</v>
      </c>
      <c r="G56" s="3232" t="s">
        <v>3723</v>
      </c>
      <c r="J56" s="3233"/>
      <c r="K56" s="3234"/>
    </row>
    <row r="57" spans="2:11">
      <c r="B57" s="3235" t="s">
        <v>3656</v>
      </c>
      <c r="C57" s="3227" t="s">
        <v>3709</v>
      </c>
      <c r="D57" s="3236">
        <v>1</v>
      </c>
      <c r="E57" s="3237" t="s">
        <v>3724</v>
      </c>
      <c r="F57" s="3238" t="s">
        <v>3725</v>
      </c>
      <c r="G57" s="3195" t="s">
        <v>3726</v>
      </c>
      <c r="J57" s="3233"/>
      <c r="K57" s="3234"/>
    </row>
    <row r="58" spans="2:11">
      <c r="B58" s="3239">
        <v>1</v>
      </c>
      <c r="C58" s="3227" t="s">
        <v>3727</v>
      </c>
      <c r="D58" s="3236">
        <f>1+F50</f>
        <v>0.96099999999999997</v>
      </c>
      <c r="E58" s="3237" t="s">
        <v>3724</v>
      </c>
      <c r="F58" s="3238" t="s">
        <v>3728</v>
      </c>
      <c r="G58" s="3195" t="s">
        <v>3729</v>
      </c>
      <c r="J58" s="3233"/>
      <c r="K58" s="3234"/>
    </row>
    <row r="59" spans="2:11">
      <c r="B59" s="3235">
        <v>1.5</v>
      </c>
      <c r="C59" s="3227" t="s">
        <v>3730</v>
      </c>
      <c r="D59" s="3236">
        <f>(1-D17)*(1+F50)</f>
        <v>0.94303956562613578</v>
      </c>
      <c r="E59" s="3237" t="s">
        <v>3724</v>
      </c>
      <c r="F59" s="3238" t="s">
        <v>3731</v>
      </c>
      <c r="G59" s="3195" t="s">
        <v>3732</v>
      </c>
    </row>
    <row r="60" spans="2:11">
      <c r="B60" s="3235" t="s">
        <v>3657</v>
      </c>
      <c r="C60" s="3227" t="s">
        <v>3709</v>
      </c>
      <c r="D60" s="3236">
        <f>(1+F51)*(1+D18)</f>
        <v>1.0286387288934387</v>
      </c>
      <c r="E60" s="3237" t="s">
        <v>3733</v>
      </c>
      <c r="F60" s="3240" t="s">
        <v>3734</v>
      </c>
      <c r="G60" s="3195" t="s">
        <v>3735</v>
      </c>
    </row>
    <row r="61" spans="2:11">
      <c r="B61" s="3239">
        <v>1</v>
      </c>
      <c r="C61" s="3227" t="s">
        <v>3727</v>
      </c>
      <c r="D61" s="3236">
        <f>1+F51</f>
        <v>1.008</v>
      </c>
      <c r="E61" s="3237" t="s">
        <v>3733</v>
      </c>
      <c r="F61" s="3237" t="s">
        <v>3728</v>
      </c>
      <c r="G61" s="3195" t="s">
        <v>3736</v>
      </c>
    </row>
    <row r="62" spans="2:11">
      <c r="B62" s="3235">
        <v>1.5</v>
      </c>
      <c r="C62" s="3227" t="s">
        <v>3730</v>
      </c>
      <c r="D62" s="3236">
        <v>1</v>
      </c>
      <c r="E62" s="3237" t="s">
        <v>3733</v>
      </c>
      <c r="F62" s="3237" t="s">
        <v>3725</v>
      </c>
      <c r="G62" s="3195" t="s">
        <v>3737</v>
      </c>
    </row>
    <row r="63" spans="2:11">
      <c r="B63" s="3239" t="s">
        <v>3658</v>
      </c>
      <c r="C63" s="3227" t="s">
        <v>3709</v>
      </c>
      <c r="D63" s="3236">
        <v>1</v>
      </c>
      <c r="E63" s="3237" t="s">
        <v>3724</v>
      </c>
      <c r="F63" s="3238" t="s">
        <v>3725</v>
      </c>
      <c r="G63" s="3195" t="s">
        <v>3726</v>
      </c>
    </row>
    <row r="64" spans="2:11">
      <c r="B64" s="3239">
        <v>1</v>
      </c>
      <c r="C64" s="3227" t="s">
        <v>3727</v>
      </c>
      <c r="D64" s="3236">
        <f>1+F52</f>
        <v>0.79</v>
      </c>
      <c r="E64" s="3237" t="s">
        <v>3724</v>
      </c>
      <c r="F64" s="3238" t="s">
        <v>3728</v>
      </c>
      <c r="G64" s="3195" t="s">
        <v>3729</v>
      </c>
    </row>
    <row r="65" spans="1:8">
      <c r="B65" s="3235">
        <v>1.5</v>
      </c>
      <c r="C65" s="3227" t="s">
        <v>3730</v>
      </c>
      <c r="D65" s="3236">
        <f>(1+F52)*(1-D19)</f>
        <v>0.77398916222357317</v>
      </c>
      <c r="E65" s="3237" t="s">
        <v>3724</v>
      </c>
      <c r="F65" s="3238" t="s">
        <v>3731</v>
      </c>
      <c r="G65" s="3195" t="s">
        <v>3732</v>
      </c>
    </row>
    <row r="66" spans="1:8">
      <c r="B66" s="3193" t="s">
        <v>3738</v>
      </c>
    </row>
    <row r="68" spans="1:8">
      <c r="B68" s="3193" t="s">
        <v>3739</v>
      </c>
      <c r="C68" s="3234">
        <v>0.5</v>
      </c>
    </row>
    <row r="69" spans="1:8">
      <c r="B69" s="3193" t="s">
        <v>3740</v>
      </c>
      <c r="C69" s="3193">
        <v>60</v>
      </c>
    </row>
    <row r="70" spans="1:8">
      <c r="B70" s="3241" t="s">
        <v>3741</v>
      </c>
      <c r="C70" s="3242">
        <f>C68*C69</f>
        <v>30</v>
      </c>
      <c r="D70" s="3243" t="s">
        <v>3742</v>
      </c>
    </row>
    <row r="71" spans="1:8" ht="31.5">
      <c r="A71" s="3247" t="s">
        <v>3746</v>
      </c>
      <c r="H71" s="3247" t="s">
        <v>3747</v>
      </c>
    </row>
    <row r="76" spans="1:8">
      <c r="B76" s="3192"/>
    </row>
    <row r="95" spans="1:8" ht="31.5">
      <c r="A95" s="3247" t="s">
        <v>3748</v>
      </c>
      <c r="H95" s="3247" t="s">
        <v>3749</v>
      </c>
    </row>
    <row r="119" spans="1:8" ht="31.5">
      <c r="A119" s="3247" t="s">
        <v>3750</v>
      </c>
      <c r="H119" s="3247" t="s">
        <v>3751</v>
      </c>
    </row>
  </sheetData>
  <mergeCells count="6">
    <mergeCell ref="B55:G55"/>
    <mergeCell ref="B3:B4"/>
    <mergeCell ref="C3:L3"/>
    <mergeCell ref="B8:B9"/>
    <mergeCell ref="C8:H8"/>
    <mergeCell ref="E48:F48"/>
  </mergeCells>
  <phoneticPr fontId="135" type="noConversion"/>
  <pageMargins left="0.75" right="0.75" top="1" bottom="1" header="0.5" footer="0.5"/>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2584</v>
      </c>
      <c r="B1" s="2809" t="s">
        <v>2585</v>
      </c>
      <c r="C1" s="2809" t="s">
        <v>2586</v>
      </c>
      <c r="D1" s="2809" t="s">
        <v>2587</v>
      </c>
      <c r="E1" s="2809" t="s">
        <v>2588</v>
      </c>
      <c r="F1" s="2809" t="s">
        <v>2589</v>
      </c>
      <c r="G1" s="2809" t="s">
        <v>2590</v>
      </c>
      <c r="H1" s="2809" t="s">
        <v>2591</v>
      </c>
      <c r="I1" s="2809" t="s">
        <v>2592</v>
      </c>
      <c r="J1" s="2809" t="s">
        <v>2593</v>
      </c>
      <c r="K1" s="2809" t="s">
        <v>2594</v>
      </c>
      <c r="L1" s="2809" t="s">
        <v>2595</v>
      </c>
      <c r="M1" s="2810" t="s">
        <v>2596</v>
      </c>
    </row>
    <row r="2" spans="1:13" ht="19.5" customHeight="1">
      <c r="A2" s="2812" t="s">
        <v>2597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2613</v>
      </c>
      <c r="B18" s="2834"/>
      <c r="C18" s="2835"/>
      <c r="D18" s="2835"/>
      <c r="E18" s="2834"/>
      <c r="F18" s="2835"/>
      <c r="G18" s="2835"/>
    </row>
    <row r="19" spans="1:13" ht="19.5" customHeight="1" thickBot="1">
      <c r="A19" s="2832" t="s">
        <v>2614</v>
      </c>
      <c r="B19" s="2837" t="s">
        <v>2615</v>
      </c>
      <c r="C19" s="2837" t="s">
        <v>2616</v>
      </c>
      <c r="D19" s="2838"/>
      <c r="E19" s="2832" t="s">
        <v>2617</v>
      </c>
      <c r="F19" s="2839"/>
      <c r="G19" s="2839"/>
    </row>
    <row r="20" spans="1:13" ht="19.5" customHeight="1">
      <c r="A20" s="3581" t="s">
        <v>2597</v>
      </c>
      <c r="B20" s="3576" t="s">
        <v>2618</v>
      </c>
      <c r="C20" s="2840" t="s">
        <v>2429</v>
      </c>
      <c r="D20" s="2841"/>
      <c r="E20" s="2842">
        <v>1</v>
      </c>
      <c r="F20" s="2843" t="s">
        <v>2430</v>
      </c>
      <c r="G20" s="2843"/>
    </row>
    <row r="21" spans="1:13" ht="19.5" customHeight="1">
      <c r="A21" s="3582"/>
      <c r="B21" s="3575"/>
      <c r="C21" s="2844" t="s">
        <v>2431</v>
      </c>
      <c r="D21" s="2845"/>
      <c r="E21" s="2846">
        <v>1</v>
      </c>
      <c r="F21" s="2843" t="s">
        <v>2432</v>
      </c>
      <c r="G21" s="2843"/>
    </row>
    <row r="22" spans="1:13" ht="19.5" customHeight="1">
      <c r="A22" s="3582"/>
      <c r="B22" s="3575"/>
      <c r="C22" s="2844" t="s">
        <v>2433</v>
      </c>
      <c r="D22" s="2845"/>
      <c r="E22" s="2846">
        <v>0.9</v>
      </c>
      <c r="F22" s="2843" t="s">
        <v>2434</v>
      </c>
      <c r="G22" s="2843"/>
    </row>
    <row r="23" spans="1:13" ht="19.5" customHeight="1">
      <c r="A23" s="3582"/>
      <c r="B23" s="3575"/>
      <c r="C23" s="2844" t="s">
        <v>2435</v>
      </c>
      <c r="D23" s="2845"/>
      <c r="E23" s="2846">
        <v>0.9</v>
      </c>
      <c r="F23" s="2843" t="s">
        <v>2436</v>
      </c>
      <c r="G23" s="2843"/>
    </row>
    <row r="24" spans="1:13" ht="19.5" customHeight="1">
      <c r="A24" s="3582"/>
      <c r="B24" s="3575"/>
      <c r="C24" s="2844" t="s">
        <v>2437</v>
      </c>
      <c r="D24" s="2845"/>
      <c r="E24" s="2846">
        <v>0.8</v>
      </c>
      <c r="F24" s="2843" t="s">
        <v>2438</v>
      </c>
      <c r="G24" s="2843"/>
    </row>
    <row r="25" spans="1:13" ht="19.5" customHeight="1" thickBot="1">
      <c r="A25" s="3583"/>
      <c r="B25" s="3577"/>
      <c r="C25" s="2847" t="s">
        <v>2439</v>
      </c>
      <c r="D25" s="2848"/>
      <c r="E25" s="2849">
        <v>0.8</v>
      </c>
      <c r="F25" s="2843" t="s">
        <v>2440</v>
      </c>
      <c r="G25" s="2843"/>
    </row>
    <row r="26" spans="1:13" ht="19.5" customHeight="1" thickBot="1">
      <c r="A26" s="2850" t="s">
        <v>2619</v>
      </c>
      <c r="B26" s="2851" t="s">
        <v>2618</v>
      </c>
      <c r="C26" s="2852" t="s">
        <v>2620</v>
      </c>
      <c r="D26" s="2853"/>
      <c r="E26" s="2854">
        <v>1</v>
      </c>
      <c r="F26" s="2843" t="s">
        <v>2441</v>
      </c>
      <c r="G26" s="2843"/>
    </row>
    <row r="27" spans="1:13" ht="19.5" customHeight="1">
      <c r="A27" s="3578" t="s">
        <v>2621</v>
      </c>
      <c r="B27" s="3576" t="s">
        <v>2602</v>
      </c>
      <c r="C27" s="2840" t="s">
        <v>2442</v>
      </c>
      <c r="D27" s="2841"/>
      <c r="E27" s="2842">
        <v>1</v>
      </c>
      <c r="F27" s="2843" t="s">
        <v>2443</v>
      </c>
      <c r="G27" s="2843"/>
    </row>
    <row r="28" spans="1:13" ht="19.5" customHeight="1">
      <c r="A28" s="3579"/>
      <c r="B28" s="3575"/>
      <c r="C28" s="2844" t="s">
        <v>2444</v>
      </c>
      <c r="D28" s="2845"/>
      <c r="E28" s="2846">
        <v>1</v>
      </c>
      <c r="F28" s="2843" t="s">
        <v>2445</v>
      </c>
      <c r="G28" s="2843"/>
    </row>
    <row r="29" spans="1:13" ht="19.5" customHeight="1">
      <c r="A29" s="3579"/>
      <c r="B29" s="3575"/>
      <c r="C29" s="2844" t="s">
        <v>2446</v>
      </c>
      <c r="D29" s="2845"/>
      <c r="E29" s="2846">
        <v>0.8</v>
      </c>
      <c r="F29" s="2843" t="s">
        <v>2447</v>
      </c>
      <c r="G29" s="2843"/>
    </row>
    <row r="30" spans="1:13" ht="19.5" customHeight="1">
      <c r="A30" s="3579"/>
      <c r="B30" s="3575"/>
      <c r="C30" s="2844" t="s">
        <v>2448</v>
      </c>
      <c r="D30" s="2845"/>
      <c r="E30" s="2846">
        <v>0.8</v>
      </c>
      <c r="F30" s="2843" t="s">
        <v>2449</v>
      </c>
      <c r="G30" s="2843"/>
    </row>
    <row r="31" spans="1:13" ht="19.5" customHeight="1">
      <c r="A31" s="3579"/>
      <c r="B31" s="3575"/>
      <c r="C31" s="2844" t="s">
        <v>2450</v>
      </c>
      <c r="D31" s="2845"/>
      <c r="E31" s="2846">
        <v>0.8</v>
      </c>
      <c r="F31" s="2843" t="s">
        <v>2451</v>
      </c>
      <c r="G31" s="2843"/>
    </row>
    <row r="32" spans="1:13" ht="19.5" customHeight="1">
      <c r="A32" s="3579"/>
      <c r="B32" s="3575"/>
      <c r="C32" s="2844" t="s">
        <v>2452</v>
      </c>
      <c r="D32" s="2845"/>
      <c r="E32" s="2846">
        <v>0.7</v>
      </c>
      <c r="F32" s="2843" t="s">
        <v>2453</v>
      </c>
      <c r="G32" s="2843"/>
    </row>
    <row r="33" spans="1:7" ht="19.5" customHeight="1">
      <c r="A33" s="3579"/>
      <c r="B33" s="3575"/>
      <c r="C33" s="2844" t="s">
        <v>2454</v>
      </c>
      <c r="D33" s="2845"/>
      <c r="E33" s="2846">
        <v>0.8</v>
      </c>
      <c r="F33" s="2843" t="s">
        <v>2455</v>
      </c>
      <c r="G33" s="2843"/>
    </row>
    <row r="34" spans="1:7" ht="19.5" customHeight="1">
      <c r="A34" s="3579"/>
      <c r="B34" s="3575"/>
      <c r="C34" s="2844" t="s">
        <v>2456</v>
      </c>
      <c r="D34" s="2845"/>
      <c r="E34" s="2846">
        <v>0.6</v>
      </c>
      <c r="F34" s="2843" t="s">
        <v>2457</v>
      </c>
      <c r="G34" s="2843"/>
    </row>
    <row r="35" spans="1:7" ht="19.5" customHeight="1">
      <c r="A35" s="3579"/>
      <c r="B35" s="3575"/>
      <c r="C35" s="2844" t="s">
        <v>2458</v>
      </c>
      <c r="D35" s="2845"/>
      <c r="E35" s="2846">
        <v>0.2</v>
      </c>
      <c r="F35" s="2843" t="s">
        <v>2459</v>
      </c>
      <c r="G35" s="2843"/>
    </row>
    <row r="36" spans="1:7" ht="19.5" customHeight="1">
      <c r="A36" s="3579"/>
      <c r="B36" s="3575"/>
      <c r="C36" s="2844" t="s">
        <v>2460</v>
      </c>
      <c r="D36" s="2845"/>
      <c r="E36" s="2846">
        <v>0.2</v>
      </c>
      <c r="F36" s="2843" t="s">
        <v>2461</v>
      </c>
      <c r="G36" s="2843"/>
    </row>
    <row r="37" spans="1:7" ht="19.5" customHeight="1">
      <c r="A37" s="3579"/>
      <c r="B37" s="3573" t="s">
        <v>2622</v>
      </c>
      <c r="C37" s="2844" t="s">
        <v>2462</v>
      </c>
      <c r="D37" s="2845"/>
      <c r="E37" s="2846">
        <v>0.6</v>
      </c>
      <c r="F37" s="2843" t="s">
        <v>2463</v>
      </c>
      <c r="G37" s="2843"/>
    </row>
    <row r="38" spans="1:7" ht="19.5" customHeight="1">
      <c r="A38" s="3579"/>
      <c r="B38" s="3575"/>
      <c r="C38" s="2844" t="s">
        <v>2464</v>
      </c>
      <c r="D38" s="2845"/>
      <c r="E38" s="2846">
        <v>0.6</v>
      </c>
      <c r="F38" s="2843" t="s">
        <v>2465</v>
      </c>
      <c r="G38" s="2843"/>
    </row>
    <row r="39" spans="1:7" ht="19.5" customHeight="1" thickBot="1">
      <c r="A39" s="3580"/>
      <c r="B39" s="3577"/>
      <c r="C39" s="2847" t="s">
        <v>2466</v>
      </c>
      <c r="D39" s="2848"/>
      <c r="E39" s="2849">
        <v>0.6</v>
      </c>
      <c r="F39" s="2843" t="s">
        <v>2467</v>
      </c>
      <c r="G39" s="2843"/>
    </row>
    <row r="40" spans="1:7" ht="19.5" customHeight="1" thickBot="1">
      <c r="A40" s="2850" t="s">
        <v>2599</v>
      </c>
      <c r="B40" s="2851" t="s">
        <v>2599</v>
      </c>
      <c r="C40" s="2852" t="s">
        <v>2623</v>
      </c>
      <c r="D40" s="2853"/>
      <c r="E40" s="2854">
        <v>1</v>
      </c>
      <c r="F40" s="2843" t="s">
        <v>2468</v>
      </c>
      <c r="G40" s="2843"/>
    </row>
    <row r="41" spans="1:7" ht="19.5" customHeight="1">
      <c r="A41" s="3581" t="s">
        <v>2600</v>
      </c>
      <c r="B41" s="3576" t="s">
        <v>2624</v>
      </c>
      <c r="C41" s="2840" t="s">
        <v>2469</v>
      </c>
      <c r="D41" s="2841"/>
      <c r="E41" s="2842">
        <v>1</v>
      </c>
      <c r="F41" s="2843" t="s">
        <v>2470</v>
      </c>
      <c r="G41" s="2843"/>
    </row>
    <row r="42" spans="1:7" ht="19.5" customHeight="1">
      <c r="A42" s="3582"/>
      <c r="B42" s="3575"/>
      <c r="C42" s="2844" t="s">
        <v>2471</v>
      </c>
      <c r="D42" s="2845"/>
      <c r="E42" s="2846">
        <v>1</v>
      </c>
      <c r="F42" s="2843" t="s">
        <v>2472</v>
      </c>
      <c r="G42" s="2843"/>
    </row>
    <row r="43" spans="1:7" ht="19.5" customHeight="1">
      <c r="A43" s="3582"/>
      <c r="B43" s="3574"/>
      <c r="C43" s="2844" t="s">
        <v>2473</v>
      </c>
      <c r="D43" s="2845"/>
      <c r="E43" s="2846">
        <v>1.5</v>
      </c>
      <c r="F43" s="2843" t="s">
        <v>2474</v>
      </c>
      <c r="G43" s="2843"/>
    </row>
    <row r="44" spans="1:7" ht="19.5" customHeight="1">
      <c r="A44" s="3582"/>
      <c r="B44" s="2855" t="s">
        <v>2625</v>
      </c>
      <c r="C44" s="2844" t="s">
        <v>2626</v>
      </c>
      <c r="D44" s="2845"/>
      <c r="E44" s="2846">
        <v>2</v>
      </c>
      <c r="F44" s="2843" t="s">
        <v>2475</v>
      </c>
      <c r="G44" s="2843"/>
    </row>
    <row r="45" spans="1:7" ht="19.5" customHeight="1">
      <c r="A45" s="3582"/>
      <c r="B45" s="3573" t="s">
        <v>2627</v>
      </c>
      <c r="C45" s="2844" t="s">
        <v>2476</v>
      </c>
      <c r="D45" s="2845"/>
      <c r="E45" s="2846">
        <v>1</v>
      </c>
      <c r="F45" s="2843" t="s">
        <v>2477</v>
      </c>
      <c r="G45" s="2843"/>
    </row>
    <row r="46" spans="1:7" ht="19.5" customHeight="1">
      <c r="A46" s="3582"/>
      <c r="B46" s="3575"/>
      <c r="C46" s="2844" t="s">
        <v>2478</v>
      </c>
      <c r="D46" s="2845"/>
      <c r="E46" s="2846">
        <v>1</v>
      </c>
      <c r="F46" s="2843" t="s">
        <v>2479</v>
      </c>
      <c r="G46" s="2843"/>
    </row>
    <row r="47" spans="1:7" ht="19.5" customHeight="1">
      <c r="A47" s="3582"/>
      <c r="B47" s="3575"/>
      <c r="C47" s="2844" t="s">
        <v>2480</v>
      </c>
      <c r="D47" s="2845"/>
      <c r="E47" s="2846">
        <v>1</v>
      </c>
      <c r="F47" s="2843" t="s">
        <v>2481</v>
      </c>
      <c r="G47" s="2843"/>
    </row>
    <row r="48" spans="1:7" ht="19.5" customHeight="1">
      <c r="A48" s="3582"/>
      <c r="B48" s="3575"/>
      <c r="C48" s="2844" t="s">
        <v>2482</v>
      </c>
      <c r="D48" s="2845"/>
      <c r="E48" s="2846">
        <v>1</v>
      </c>
      <c r="F48" s="2843" t="s">
        <v>2483</v>
      </c>
      <c r="G48" s="2843"/>
    </row>
    <row r="49" spans="1:7" ht="19.5" customHeight="1">
      <c r="A49" s="3582"/>
      <c r="B49" s="3575"/>
      <c r="C49" s="2844" t="s">
        <v>2484</v>
      </c>
      <c r="D49" s="2845"/>
      <c r="E49" s="2846">
        <v>1</v>
      </c>
      <c r="F49" s="2843" t="s">
        <v>2485</v>
      </c>
      <c r="G49" s="2843"/>
    </row>
    <row r="50" spans="1:7" ht="19.5" customHeight="1">
      <c r="A50" s="3582"/>
      <c r="B50" s="3575"/>
      <c r="C50" s="2844" t="s">
        <v>2486</v>
      </c>
      <c r="D50" s="2845"/>
      <c r="E50" s="2846">
        <v>1</v>
      </c>
      <c r="F50" s="2843" t="s">
        <v>2487</v>
      </c>
      <c r="G50" s="2843"/>
    </row>
    <row r="51" spans="1:7" ht="19.5" customHeight="1" thickBot="1">
      <c r="A51" s="3583"/>
      <c r="B51" s="3577"/>
      <c r="C51" s="2847" t="s">
        <v>2488</v>
      </c>
      <c r="D51" s="2848"/>
      <c r="E51" s="2849">
        <v>1</v>
      </c>
      <c r="F51" s="2843" t="s">
        <v>2489</v>
      </c>
      <c r="G51" s="2843"/>
    </row>
    <row r="52" spans="1:7" ht="19.5" customHeight="1">
      <c r="A52" s="2856"/>
      <c r="B52" s="2856"/>
      <c r="C52" s="2856"/>
      <c r="D52" s="2856"/>
      <c r="E52" s="2856"/>
      <c r="F52" s="2856"/>
      <c r="G52" s="2856"/>
    </row>
    <row r="54" spans="1:7" ht="19.5" customHeight="1">
      <c r="A54" s="2857"/>
      <c r="B54" s="2829" t="s">
        <v>2628</v>
      </c>
      <c r="C54" s="2829" t="s">
        <v>2628</v>
      </c>
      <c r="D54" s="2829" t="s">
        <v>2628</v>
      </c>
      <c r="E54" s="2832" t="s">
        <v>2628</v>
      </c>
      <c r="F54" s="2832" t="s">
        <v>2629</v>
      </c>
      <c r="G54" s="2832" t="s">
        <v>2630</v>
      </c>
    </row>
    <row r="55" spans="1:7" ht="19.5" customHeight="1">
      <c r="A55" s="2858"/>
      <c r="B55" s="2832" t="s">
        <v>2597</v>
      </c>
      <c r="C55" s="2832" t="s">
        <v>2597</v>
      </c>
      <c r="D55" s="2832" t="s">
        <v>2597</v>
      </c>
      <c r="E55" s="2829" t="s">
        <v>2598</v>
      </c>
      <c r="F55" s="2829" t="s">
        <v>2600</v>
      </c>
      <c r="G55" s="2829" t="s">
        <v>2631</v>
      </c>
    </row>
    <row r="56" spans="1:7" ht="19.5" customHeight="1">
      <c r="A56" s="2859"/>
      <c r="B56" s="2829">
        <v>1</v>
      </c>
      <c r="C56" s="2829">
        <v>2</v>
      </c>
      <c r="D56" s="2829">
        <v>3</v>
      </c>
      <c r="E56" s="2860" t="s">
        <v>2632</v>
      </c>
      <c r="F56" s="2860" t="s">
        <v>2632</v>
      </c>
      <c r="G56" s="2860" t="s">
        <v>2632</v>
      </c>
    </row>
    <row r="57" spans="1:7" ht="19.5" customHeight="1">
      <c r="A57" s="2861" t="s">
        <v>2585</v>
      </c>
      <c r="B57" s="2829">
        <v>0.7</v>
      </c>
      <c r="C57" s="2829">
        <v>0.4</v>
      </c>
      <c r="D57" s="2829">
        <v>0.3</v>
      </c>
      <c r="E57" s="2860">
        <v>0.3</v>
      </c>
      <c r="F57" s="2829">
        <v>0.3</v>
      </c>
      <c r="G57" s="2829">
        <v>0.2</v>
      </c>
    </row>
    <row r="58" spans="1:7" ht="19.5" customHeight="1">
      <c r="A58" s="2861" t="s">
        <v>2586</v>
      </c>
      <c r="B58" s="2829">
        <v>0.7</v>
      </c>
      <c r="C58" s="2829">
        <v>0.4</v>
      </c>
      <c r="D58" s="2829">
        <v>0.3</v>
      </c>
      <c r="E58" s="2829">
        <v>0.3</v>
      </c>
      <c r="F58" s="2829">
        <v>0.3</v>
      </c>
      <c r="G58" s="2829">
        <v>0.2</v>
      </c>
    </row>
    <row r="59" spans="1:7" ht="19.5" customHeight="1">
      <c r="A59" s="2861" t="s">
        <v>2587</v>
      </c>
      <c r="B59" s="2829">
        <v>0.6</v>
      </c>
      <c r="C59" s="2829">
        <v>0.3</v>
      </c>
      <c r="D59" s="2829">
        <v>0.25</v>
      </c>
      <c r="E59" s="2829">
        <v>0.25</v>
      </c>
      <c r="F59" s="2829">
        <v>0.25</v>
      </c>
      <c r="G59" s="2829">
        <v>0.15</v>
      </c>
    </row>
    <row r="60" spans="1:7" ht="19.5" customHeight="1">
      <c r="A60" s="2861" t="s">
        <v>2588</v>
      </c>
      <c r="B60" s="2829">
        <v>0.6</v>
      </c>
      <c r="C60" s="2829">
        <v>0.3</v>
      </c>
      <c r="D60" s="2829">
        <v>0.25</v>
      </c>
      <c r="E60" s="2829">
        <v>0.25</v>
      </c>
      <c r="F60" s="2829">
        <v>0.25</v>
      </c>
      <c r="G60" s="2829">
        <v>0.15</v>
      </c>
    </row>
    <row r="61" spans="1:7" ht="19.5" customHeight="1">
      <c r="A61" s="2861" t="s">
        <v>2589</v>
      </c>
      <c r="B61" s="2829">
        <v>0.6</v>
      </c>
      <c r="C61" s="2829">
        <v>0.3</v>
      </c>
      <c r="D61" s="2829">
        <v>0.25</v>
      </c>
      <c r="E61" s="2829">
        <v>0.25</v>
      </c>
      <c r="F61" s="2829">
        <v>0.25</v>
      </c>
      <c r="G61" s="2829">
        <v>0.15</v>
      </c>
    </row>
    <row r="62" spans="1:7" ht="19.5" customHeight="1">
      <c r="A62" s="2861" t="s">
        <v>2590</v>
      </c>
      <c r="B62" s="2829">
        <v>0.6</v>
      </c>
      <c r="C62" s="2829">
        <v>0.3</v>
      </c>
      <c r="D62" s="2829">
        <v>0.25</v>
      </c>
      <c r="E62" s="2829">
        <v>0.25</v>
      </c>
      <c r="F62" s="2829">
        <v>0.25</v>
      </c>
      <c r="G62" s="2829">
        <v>0.15</v>
      </c>
    </row>
    <row r="63" spans="1:7" ht="19.5" customHeight="1">
      <c r="A63" s="2861" t="s">
        <v>2591</v>
      </c>
      <c r="B63" s="2829">
        <v>0.6</v>
      </c>
      <c r="C63" s="2829">
        <v>0.3</v>
      </c>
      <c r="D63" s="2829">
        <v>0.25</v>
      </c>
      <c r="E63" s="2829">
        <v>0.25</v>
      </c>
      <c r="F63" s="2829">
        <v>0.25</v>
      </c>
      <c r="G63" s="2829">
        <v>0.15</v>
      </c>
    </row>
    <row r="64" spans="1:7" ht="19.5" customHeight="1">
      <c r="A64" s="2861" t="s">
        <v>2592</v>
      </c>
      <c r="B64" s="2829">
        <v>0.5</v>
      </c>
      <c r="C64" s="2829">
        <v>0.2</v>
      </c>
      <c r="D64" s="2829">
        <v>0.2</v>
      </c>
      <c r="E64" s="2829">
        <v>0.2</v>
      </c>
      <c r="F64" s="2829">
        <v>0.2</v>
      </c>
      <c r="G64" s="2829">
        <v>0.1</v>
      </c>
    </row>
    <row r="65" spans="1:7" ht="19.5" customHeight="1">
      <c r="A65" s="2861" t="s">
        <v>2593</v>
      </c>
      <c r="B65" s="2829">
        <v>0.5</v>
      </c>
      <c r="C65" s="2829">
        <v>0.2</v>
      </c>
      <c r="D65" s="2829">
        <v>0.2</v>
      </c>
      <c r="E65" s="2829">
        <v>0.2</v>
      </c>
      <c r="F65" s="2829">
        <v>0.2</v>
      </c>
      <c r="G65" s="2829">
        <v>0.1</v>
      </c>
    </row>
    <row r="66" spans="1:7" ht="19.5" customHeight="1">
      <c r="A66" s="2861" t="s">
        <v>2594</v>
      </c>
      <c r="B66" s="2829">
        <v>0.5</v>
      </c>
      <c r="C66" s="2829">
        <v>0.2</v>
      </c>
      <c r="D66" s="2829">
        <v>0.2</v>
      </c>
      <c r="E66" s="2829">
        <v>0.2</v>
      </c>
      <c r="F66" s="2829">
        <v>0.2</v>
      </c>
      <c r="G66" s="2829">
        <v>0.1</v>
      </c>
    </row>
    <row r="67" spans="1:7" ht="19.5" customHeight="1">
      <c r="A67" s="2861" t="s">
        <v>2595</v>
      </c>
      <c r="B67" s="2829">
        <v>0.5</v>
      </c>
      <c r="C67" s="2829">
        <v>0.2</v>
      </c>
      <c r="D67" s="2829">
        <v>0.2</v>
      </c>
      <c r="E67" s="2829">
        <v>0.2</v>
      </c>
      <c r="F67" s="2829">
        <v>0.2</v>
      </c>
      <c r="G67" s="2829">
        <v>0.1</v>
      </c>
    </row>
    <row r="68" spans="1:7" ht="19.5" customHeight="1">
      <c r="A68" s="2861" t="s">
        <v>2596</v>
      </c>
      <c r="B68" s="2829">
        <v>0.5</v>
      </c>
      <c r="C68" s="2829">
        <v>0.2</v>
      </c>
      <c r="D68" s="2829">
        <v>0.2</v>
      </c>
      <c r="E68" s="2829">
        <v>0.2</v>
      </c>
      <c r="F68" s="2829">
        <v>0.2</v>
      </c>
      <c r="G68" s="2829">
        <v>0.1</v>
      </c>
    </row>
    <row r="70" spans="1:7" ht="19.5" customHeight="1">
      <c r="A70" s="2843"/>
      <c r="B70" s="2862"/>
      <c r="C70" s="2862"/>
      <c r="D70" s="2862" t="s">
        <v>2633</v>
      </c>
      <c r="E70" s="2862"/>
      <c r="F70" s="2862"/>
    </row>
    <row r="71" spans="1:7" ht="19.5" customHeight="1">
      <c r="A71" s="2855" t="s">
        <v>2634</v>
      </c>
      <c r="B71" s="2855" t="s">
        <v>2635</v>
      </c>
      <c r="C71" s="2855" t="s">
        <v>2636</v>
      </c>
      <c r="D71" s="2855" t="s">
        <v>2637</v>
      </c>
      <c r="E71" s="2855" t="s">
        <v>2638</v>
      </c>
      <c r="F71" s="2855" t="s">
        <v>2639</v>
      </c>
    </row>
    <row r="72" spans="1:7" ht="13.5">
      <c r="A72" s="2855"/>
      <c r="B72" s="2855"/>
      <c r="C72" s="2855" t="s">
        <v>2640</v>
      </c>
      <c r="D72" s="2855"/>
      <c r="E72" s="2855" t="s">
        <v>2611</v>
      </c>
      <c r="F72" s="2855" t="s">
        <v>2611</v>
      </c>
    </row>
    <row r="73" spans="1:7" ht="13.5">
      <c r="A73" s="2855">
        <v>1</v>
      </c>
      <c r="B73" s="3573" t="s">
        <v>2641</v>
      </c>
      <c r="C73" s="2829" t="s">
        <v>2642</v>
      </c>
      <c r="D73" s="2829" t="s">
        <v>2643</v>
      </c>
      <c r="E73" s="2855">
        <v>0.2</v>
      </c>
      <c r="F73" s="2855">
        <v>25</v>
      </c>
    </row>
    <row r="74" spans="1:7" ht="24">
      <c r="A74" s="2855">
        <v>2</v>
      </c>
      <c r="B74" s="3575"/>
      <c r="C74" s="2829" t="s">
        <v>2644</v>
      </c>
      <c r="D74" s="2829" t="s">
        <v>2645</v>
      </c>
      <c r="E74" s="2855">
        <v>0.2</v>
      </c>
      <c r="F74" s="2855">
        <v>25</v>
      </c>
    </row>
    <row r="75" spans="1:7" ht="24">
      <c r="A75" s="2855">
        <v>3</v>
      </c>
      <c r="B75" s="3575"/>
      <c r="C75" s="2829" t="s">
        <v>2646</v>
      </c>
      <c r="D75" s="2829" t="s">
        <v>2647</v>
      </c>
      <c r="E75" s="2855">
        <v>0.2</v>
      </c>
      <c r="F75" s="2855">
        <v>25</v>
      </c>
    </row>
    <row r="76" spans="1:7" ht="13.5">
      <c r="A76" s="2855">
        <v>4</v>
      </c>
      <c r="B76" s="3575"/>
      <c r="C76" s="2829" t="s">
        <v>2648</v>
      </c>
      <c r="D76" s="2829" t="s">
        <v>2649</v>
      </c>
      <c r="E76" s="2855">
        <v>0.15</v>
      </c>
      <c r="F76" s="2855">
        <v>20</v>
      </c>
    </row>
    <row r="77" spans="1:7" ht="24">
      <c r="A77" s="2855">
        <v>5</v>
      </c>
      <c r="B77" s="3575"/>
      <c r="C77" s="2829" t="s">
        <v>2650</v>
      </c>
      <c r="D77" s="2829" t="s">
        <v>2651</v>
      </c>
      <c r="E77" s="2855">
        <v>0.15</v>
      </c>
      <c r="F77" s="2855">
        <v>20</v>
      </c>
    </row>
    <row r="78" spans="1:7" ht="24">
      <c r="A78" s="2855">
        <v>6</v>
      </c>
      <c r="B78" s="3575"/>
      <c r="C78" s="2829" t="s">
        <v>2652</v>
      </c>
      <c r="D78" s="2829" t="s">
        <v>2653</v>
      </c>
      <c r="E78" s="2855">
        <v>0.15</v>
      </c>
      <c r="F78" s="2855">
        <v>20</v>
      </c>
    </row>
    <row r="79" spans="1:7" ht="24">
      <c r="A79" s="2855">
        <v>7</v>
      </c>
      <c r="B79" s="3575"/>
      <c r="C79" s="2829" t="s">
        <v>2654</v>
      </c>
      <c r="D79" s="2829" t="s">
        <v>2655</v>
      </c>
      <c r="E79" s="2855">
        <v>0.15</v>
      </c>
      <c r="F79" s="2855">
        <v>20</v>
      </c>
    </row>
    <row r="80" spans="1:7" ht="24">
      <c r="A80" s="2855">
        <v>8</v>
      </c>
      <c r="B80" s="3575"/>
      <c r="C80" s="2829" t="s">
        <v>2656</v>
      </c>
      <c r="D80" s="2829" t="s">
        <v>2657</v>
      </c>
      <c r="E80" s="2855">
        <v>0.1</v>
      </c>
      <c r="F80" s="2855">
        <v>15</v>
      </c>
    </row>
    <row r="81" spans="1:6" ht="24">
      <c r="A81" s="2855">
        <v>9</v>
      </c>
      <c r="B81" s="3575"/>
      <c r="C81" s="2829" t="s">
        <v>2658</v>
      </c>
      <c r="D81" s="2829" t="s">
        <v>2659</v>
      </c>
      <c r="E81" s="2855">
        <v>0.1</v>
      </c>
      <c r="F81" s="2855">
        <v>15</v>
      </c>
    </row>
    <row r="82" spans="1:6" ht="24">
      <c r="A82" s="2855">
        <v>10</v>
      </c>
      <c r="B82" s="3575"/>
      <c r="C82" s="2829" t="s">
        <v>2660</v>
      </c>
      <c r="D82" s="2829" t="s">
        <v>2661</v>
      </c>
      <c r="E82" s="2855">
        <v>0.1</v>
      </c>
      <c r="F82" s="2855">
        <v>15</v>
      </c>
    </row>
    <row r="83" spans="1:6" ht="24">
      <c r="A83" s="2855">
        <v>11</v>
      </c>
      <c r="B83" s="3575"/>
      <c r="C83" s="2829" t="s">
        <v>2662</v>
      </c>
      <c r="D83" s="2829" t="s">
        <v>2663</v>
      </c>
      <c r="E83" s="2855">
        <v>0.1</v>
      </c>
      <c r="F83" s="2855">
        <v>15</v>
      </c>
    </row>
    <row r="84" spans="1:6" ht="24">
      <c r="A84" s="2855">
        <v>12</v>
      </c>
      <c r="B84" s="3575"/>
      <c r="C84" s="2829" t="s">
        <v>2664</v>
      </c>
      <c r="D84" s="2829" t="s">
        <v>2665</v>
      </c>
      <c r="E84" s="2855">
        <v>0.1</v>
      </c>
      <c r="F84" s="2855">
        <v>15</v>
      </c>
    </row>
    <row r="85" spans="1:6" ht="13.5">
      <c r="A85" s="2855">
        <v>13</v>
      </c>
      <c r="B85" s="3575"/>
      <c r="C85" s="2829" t="s">
        <v>2666</v>
      </c>
      <c r="D85" s="2829" t="s">
        <v>2667</v>
      </c>
      <c r="E85" s="2855">
        <v>0.1</v>
      </c>
      <c r="F85" s="2855">
        <v>15</v>
      </c>
    </row>
    <row r="86" spans="1:6" ht="13.5">
      <c r="A86" s="2855">
        <v>14</v>
      </c>
      <c r="B86" s="3575"/>
      <c r="C86" s="2829" t="s">
        <v>2668</v>
      </c>
      <c r="D86" s="2829" t="s">
        <v>2669</v>
      </c>
      <c r="E86" s="2855">
        <v>0.1</v>
      </c>
      <c r="F86" s="2855">
        <v>15</v>
      </c>
    </row>
    <row r="87" spans="1:6" ht="13.5">
      <c r="A87" s="2855">
        <v>15</v>
      </c>
      <c r="B87" s="3575"/>
      <c r="C87" s="2829" t="s">
        <v>2670</v>
      </c>
      <c r="D87" s="2829" t="s">
        <v>2671</v>
      </c>
      <c r="E87" s="2855">
        <v>0.1</v>
      </c>
      <c r="F87" s="2855">
        <v>15</v>
      </c>
    </row>
    <row r="88" spans="1:6" ht="24">
      <c r="A88" s="2855">
        <v>16</v>
      </c>
      <c r="B88" s="3575"/>
      <c r="C88" s="2829" t="s">
        <v>2672</v>
      </c>
      <c r="D88" s="2829" t="s">
        <v>2673</v>
      </c>
      <c r="E88" s="2855">
        <v>0.1</v>
      </c>
      <c r="F88" s="2855">
        <v>15</v>
      </c>
    </row>
    <row r="89" spans="1:6" ht="24">
      <c r="A89" s="2855">
        <v>17</v>
      </c>
      <c r="B89" s="3574"/>
      <c r="C89" s="2829" t="s">
        <v>2674</v>
      </c>
      <c r="D89" s="2829" t="s">
        <v>2675</v>
      </c>
      <c r="E89" s="2855">
        <v>0.1</v>
      </c>
      <c r="F89" s="2855">
        <v>15</v>
      </c>
    </row>
    <row r="90" spans="1:6" ht="13.5">
      <c r="A90" s="2855">
        <v>18</v>
      </c>
      <c r="B90" s="3573" t="s">
        <v>2676</v>
      </c>
      <c r="C90" s="2829" t="s">
        <v>2677</v>
      </c>
      <c r="D90" s="2829" t="s">
        <v>2678</v>
      </c>
      <c r="E90" s="2855">
        <v>0.2</v>
      </c>
      <c r="F90" s="2855">
        <v>25</v>
      </c>
    </row>
    <row r="91" spans="1:6" ht="24">
      <c r="A91" s="2855">
        <v>19</v>
      </c>
      <c r="B91" s="3575"/>
      <c r="C91" s="2829" t="s">
        <v>2679</v>
      </c>
      <c r="D91" s="2829" t="s">
        <v>2680</v>
      </c>
      <c r="E91" s="2855">
        <v>0.2</v>
      </c>
      <c r="F91" s="2855">
        <v>25</v>
      </c>
    </row>
    <row r="92" spans="1:6" ht="13.5">
      <c r="A92" s="2855">
        <v>20</v>
      </c>
      <c r="B92" s="3575"/>
      <c r="C92" s="2829" t="s">
        <v>2681</v>
      </c>
      <c r="D92" s="2829" t="s">
        <v>2682</v>
      </c>
      <c r="E92" s="2855">
        <v>0.15</v>
      </c>
      <c r="F92" s="2855">
        <v>20</v>
      </c>
    </row>
    <row r="93" spans="1:6" ht="13.5">
      <c r="A93" s="2855">
        <v>21</v>
      </c>
      <c r="B93" s="3575"/>
      <c r="C93" s="2829" t="s">
        <v>2683</v>
      </c>
      <c r="D93" s="2829" t="s">
        <v>2684</v>
      </c>
      <c r="E93" s="2855">
        <v>0.15</v>
      </c>
      <c r="F93" s="2855">
        <v>20</v>
      </c>
    </row>
    <row r="94" spans="1:6" ht="13.5">
      <c r="A94" s="2855">
        <v>22</v>
      </c>
      <c r="B94" s="3575"/>
      <c r="C94" s="2829" t="s">
        <v>2685</v>
      </c>
      <c r="D94" s="2829" t="s">
        <v>2686</v>
      </c>
      <c r="E94" s="2855">
        <v>0.15</v>
      </c>
      <c r="F94" s="2855">
        <v>20</v>
      </c>
    </row>
    <row r="95" spans="1:6" ht="36">
      <c r="A95" s="2855">
        <v>23</v>
      </c>
      <c r="B95" s="3575"/>
      <c r="C95" s="2829" t="s">
        <v>2687</v>
      </c>
      <c r="D95" s="2829" t="s">
        <v>2688</v>
      </c>
      <c r="E95" s="2855">
        <v>0.15</v>
      </c>
      <c r="F95" s="2855">
        <v>20</v>
      </c>
    </row>
    <row r="96" spans="1:6" ht="13.5">
      <c r="A96" s="2855">
        <v>24</v>
      </c>
      <c r="B96" s="3575"/>
      <c r="C96" s="2829" t="s">
        <v>2689</v>
      </c>
      <c r="D96" s="2829" t="s">
        <v>2690</v>
      </c>
      <c r="E96" s="2855">
        <v>0.1</v>
      </c>
      <c r="F96" s="2855">
        <v>15</v>
      </c>
    </row>
    <row r="97" spans="1:6" ht="13.5">
      <c r="A97" s="2855">
        <v>25</v>
      </c>
      <c r="B97" s="3575"/>
      <c r="C97" s="2829" t="s">
        <v>2691</v>
      </c>
      <c r="D97" s="2829" t="s">
        <v>2692</v>
      </c>
      <c r="E97" s="2855">
        <v>0.1</v>
      </c>
      <c r="F97" s="2855">
        <v>15</v>
      </c>
    </row>
    <row r="98" spans="1:6" ht="24">
      <c r="A98" s="2855">
        <v>26</v>
      </c>
      <c r="B98" s="3575"/>
      <c r="C98" s="2829" t="s">
        <v>2693</v>
      </c>
      <c r="D98" s="2829" t="s">
        <v>2694</v>
      </c>
      <c r="E98" s="2855">
        <v>0.1</v>
      </c>
      <c r="F98" s="2855">
        <v>15</v>
      </c>
    </row>
    <row r="99" spans="1:6" ht="24">
      <c r="A99" s="2855">
        <v>27</v>
      </c>
      <c r="B99" s="3575"/>
      <c r="C99" s="2829" t="s">
        <v>2695</v>
      </c>
      <c r="D99" s="2829" t="s">
        <v>2696</v>
      </c>
      <c r="E99" s="2855">
        <v>0.1</v>
      </c>
      <c r="F99" s="2855">
        <v>15</v>
      </c>
    </row>
    <row r="100" spans="1:6" ht="13.5">
      <c r="A100" s="2855">
        <v>28</v>
      </c>
      <c r="B100" s="3575"/>
      <c r="C100" s="2829" t="s">
        <v>2697</v>
      </c>
      <c r="D100" s="2829" t="s">
        <v>2698</v>
      </c>
      <c r="E100" s="2855">
        <v>0.1</v>
      </c>
      <c r="F100" s="2855">
        <v>15</v>
      </c>
    </row>
    <row r="101" spans="1:6" ht="13.5">
      <c r="A101" s="2855">
        <v>29</v>
      </c>
      <c r="B101" s="3575"/>
      <c r="C101" s="2829" t="s">
        <v>2699</v>
      </c>
      <c r="D101" s="2829" t="s">
        <v>2700</v>
      </c>
      <c r="E101" s="2855">
        <v>0.1</v>
      </c>
      <c r="F101" s="2855">
        <v>15</v>
      </c>
    </row>
    <row r="102" spans="1:6" ht="13.5">
      <c r="A102" s="2855">
        <v>30</v>
      </c>
      <c r="B102" s="3575"/>
      <c r="C102" s="2829" t="s">
        <v>2701</v>
      </c>
      <c r="D102" s="2829" t="s">
        <v>2702</v>
      </c>
      <c r="E102" s="2855">
        <v>0.1</v>
      </c>
      <c r="F102" s="2855">
        <v>15</v>
      </c>
    </row>
    <row r="103" spans="1:6" ht="24">
      <c r="A103" s="2855">
        <v>31</v>
      </c>
      <c r="B103" s="3575"/>
      <c r="C103" s="2829" t="s">
        <v>2703</v>
      </c>
      <c r="D103" s="2829" t="s">
        <v>2704</v>
      </c>
      <c r="E103" s="2855">
        <v>0.1</v>
      </c>
      <c r="F103" s="2855">
        <v>15</v>
      </c>
    </row>
    <row r="104" spans="1:6" ht="24">
      <c r="A104" s="2855">
        <v>32</v>
      </c>
      <c r="B104" s="3575"/>
      <c r="C104" s="2829" t="s">
        <v>2705</v>
      </c>
      <c r="D104" s="2829" t="s">
        <v>2706</v>
      </c>
      <c r="E104" s="2855">
        <v>0.1</v>
      </c>
      <c r="F104" s="2855">
        <v>15</v>
      </c>
    </row>
    <row r="105" spans="1:6" ht="24">
      <c r="A105" s="2855">
        <v>33</v>
      </c>
      <c r="B105" s="3575"/>
      <c r="C105" s="2829" t="s">
        <v>2707</v>
      </c>
      <c r="D105" s="2829" t="s">
        <v>2708</v>
      </c>
      <c r="E105" s="2855">
        <v>0.1</v>
      </c>
      <c r="F105" s="2855">
        <v>15</v>
      </c>
    </row>
    <row r="106" spans="1:6" ht="24">
      <c r="A106" s="2855">
        <v>34</v>
      </c>
      <c r="B106" s="3574"/>
      <c r="C106" s="2829" t="s">
        <v>2709</v>
      </c>
      <c r="D106" s="2829" t="s">
        <v>2710</v>
      </c>
      <c r="E106" s="2855">
        <v>0.1</v>
      </c>
      <c r="F106" s="2855">
        <v>15</v>
      </c>
    </row>
    <row r="107" spans="1:6" ht="24">
      <c r="A107" s="2855">
        <v>35</v>
      </c>
      <c r="B107" s="3573" t="s">
        <v>2711</v>
      </c>
      <c r="C107" s="2855" t="s">
        <v>2712</v>
      </c>
      <c r="D107" s="2829" t="s">
        <v>2713</v>
      </c>
      <c r="E107" s="2855">
        <v>0.15</v>
      </c>
      <c r="F107" s="2855">
        <v>20</v>
      </c>
    </row>
    <row r="108" spans="1:6" ht="13.5">
      <c r="A108" s="2855">
        <v>36</v>
      </c>
      <c r="B108" s="3575"/>
      <c r="C108" s="2855" t="s">
        <v>2714</v>
      </c>
      <c r="D108" s="2829" t="s">
        <v>2715</v>
      </c>
      <c r="E108" s="2855">
        <v>0.15</v>
      </c>
      <c r="F108" s="2855">
        <v>20</v>
      </c>
    </row>
    <row r="109" spans="1:6" ht="13.5">
      <c r="A109" s="2855">
        <v>37</v>
      </c>
      <c r="B109" s="3575"/>
      <c r="C109" s="2855" t="s">
        <v>2716</v>
      </c>
      <c r="D109" s="2829" t="s">
        <v>2717</v>
      </c>
      <c r="E109" s="2855">
        <v>0.15</v>
      </c>
      <c r="F109" s="2855">
        <v>20</v>
      </c>
    </row>
    <row r="110" spans="1:6" ht="13.5">
      <c r="A110" s="2855">
        <v>38</v>
      </c>
      <c r="B110" s="3575"/>
      <c r="C110" s="2855" t="s">
        <v>2718</v>
      </c>
      <c r="D110" s="2829" t="s">
        <v>2719</v>
      </c>
      <c r="E110" s="2855">
        <v>0.1</v>
      </c>
      <c r="F110" s="2855">
        <v>15</v>
      </c>
    </row>
    <row r="111" spans="1:6" ht="24">
      <c r="A111" s="2855">
        <v>39</v>
      </c>
      <c r="B111" s="3575"/>
      <c r="C111" s="2855" t="s">
        <v>2720</v>
      </c>
      <c r="D111" s="2829" t="s">
        <v>2721</v>
      </c>
      <c r="E111" s="2855">
        <v>0.1</v>
      </c>
      <c r="F111" s="2855">
        <v>15</v>
      </c>
    </row>
    <row r="112" spans="1:6" ht="24">
      <c r="A112" s="2855">
        <v>40</v>
      </c>
      <c r="B112" s="3574"/>
      <c r="C112" s="2855" t="s">
        <v>2722</v>
      </c>
      <c r="D112" s="2829" t="s">
        <v>2723</v>
      </c>
      <c r="E112" s="2855">
        <v>0.1</v>
      </c>
      <c r="F112" s="2855">
        <v>15</v>
      </c>
    </row>
    <row r="113" spans="1:6" ht="13.5">
      <c r="A113" s="2855">
        <v>41</v>
      </c>
      <c r="B113" s="3572" t="s">
        <v>2724</v>
      </c>
      <c r="C113" s="2855" t="s">
        <v>2725</v>
      </c>
      <c r="D113" s="2829" t="s">
        <v>2726</v>
      </c>
      <c r="E113" s="2855">
        <v>0.1</v>
      </c>
      <c r="F113" s="2855">
        <v>15</v>
      </c>
    </row>
    <row r="114" spans="1:6" ht="13.5">
      <c r="A114" s="2855">
        <v>42</v>
      </c>
      <c r="B114" s="3572"/>
      <c r="C114" s="2855" t="s">
        <v>2727</v>
      </c>
      <c r="D114" s="2829" t="s">
        <v>2728</v>
      </c>
      <c r="E114" s="2855">
        <v>0.1</v>
      </c>
      <c r="F114" s="2855">
        <v>15</v>
      </c>
    </row>
    <row r="115" spans="1:6" ht="24">
      <c r="A115" s="2855">
        <v>43</v>
      </c>
      <c r="B115" s="3572"/>
      <c r="C115" s="2855" t="s">
        <v>2729</v>
      </c>
      <c r="D115" s="2829" t="s">
        <v>2730</v>
      </c>
      <c r="E115" s="2855">
        <v>0.1</v>
      </c>
      <c r="F115" s="2855">
        <v>15</v>
      </c>
    </row>
    <row r="116" spans="1:6" ht="13.5">
      <c r="A116" s="2855">
        <v>44</v>
      </c>
      <c r="B116" s="3573" t="s">
        <v>2731</v>
      </c>
      <c r="C116" s="2855" t="s">
        <v>2732</v>
      </c>
      <c r="D116" s="2829" t="s">
        <v>2733</v>
      </c>
      <c r="E116" s="2855">
        <v>0.1</v>
      </c>
      <c r="F116" s="2855">
        <v>15</v>
      </c>
    </row>
    <row r="117" spans="1:6" ht="24">
      <c r="A117" s="2855">
        <v>45</v>
      </c>
      <c r="B117" s="3574"/>
      <c r="C117" s="2829" t="s">
        <v>2734</v>
      </c>
      <c r="D117" s="2829" t="s">
        <v>2735</v>
      </c>
      <c r="E117" s="2855">
        <v>0.1</v>
      </c>
      <c r="F117" s="2855">
        <v>15</v>
      </c>
    </row>
    <row r="118" spans="1:6" ht="24">
      <c r="A118" s="2855">
        <v>46</v>
      </c>
      <c r="B118" s="3573" t="s">
        <v>2736</v>
      </c>
      <c r="C118" s="2855" t="s">
        <v>2737</v>
      </c>
      <c r="D118" s="2829" t="s">
        <v>2738</v>
      </c>
      <c r="E118" s="2855">
        <v>0.1</v>
      </c>
      <c r="F118" s="2855">
        <v>15</v>
      </c>
    </row>
    <row r="119" spans="1:6" ht="24">
      <c r="A119" s="2855">
        <v>47</v>
      </c>
      <c r="B119" s="3574"/>
      <c r="C119" s="2855" t="s">
        <v>2739</v>
      </c>
      <c r="D119" s="2829" t="s">
        <v>2740</v>
      </c>
      <c r="E119" s="2855">
        <v>0.1</v>
      </c>
      <c r="F119" s="2855">
        <v>15</v>
      </c>
    </row>
    <row r="120" spans="1:6" ht="13.5">
      <c r="A120" s="2855">
        <v>48</v>
      </c>
      <c r="B120" s="3573" t="s">
        <v>2741</v>
      </c>
      <c r="C120" s="2855" t="s">
        <v>2742</v>
      </c>
      <c r="D120" s="2829" t="s">
        <v>2743</v>
      </c>
      <c r="E120" s="2855">
        <v>0.1</v>
      </c>
      <c r="F120" s="2855">
        <v>15</v>
      </c>
    </row>
    <row r="121" spans="1:6" ht="13.5">
      <c r="A121" s="2855">
        <v>49</v>
      </c>
      <c r="B121" s="3574"/>
      <c r="C121" s="2855" t="s">
        <v>2744</v>
      </c>
      <c r="D121" s="2829" t="s">
        <v>2745</v>
      </c>
      <c r="E121" s="2855">
        <v>0.1</v>
      </c>
      <c r="F121" s="2855">
        <v>15</v>
      </c>
    </row>
    <row r="122" spans="1:6" ht="24">
      <c r="A122" s="2855">
        <v>50</v>
      </c>
      <c r="B122" s="3572" t="s">
        <v>2746</v>
      </c>
      <c r="C122" s="2855" t="s">
        <v>2747</v>
      </c>
      <c r="D122" s="2829" t="s">
        <v>2748</v>
      </c>
      <c r="E122" s="2855">
        <v>0.1</v>
      </c>
      <c r="F122" s="2855">
        <v>15</v>
      </c>
    </row>
    <row r="123" spans="1:6" ht="24">
      <c r="A123" s="2855">
        <v>51</v>
      </c>
      <c r="B123" s="3572"/>
      <c r="C123" s="2855" t="s">
        <v>2749</v>
      </c>
      <c r="D123" s="2829" t="s">
        <v>2750</v>
      </c>
      <c r="E123" s="2855">
        <v>0.1</v>
      </c>
      <c r="F123" s="2855">
        <v>15</v>
      </c>
    </row>
    <row r="124" spans="1:6" ht="24">
      <c r="A124" s="2855">
        <v>52</v>
      </c>
      <c r="B124" s="3572" t="s">
        <v>2751</v>
      </c>
      <c r="C124" s="2855" t="s">
        <v>2752</v>
      </c>
      <c r="D124" s="2829" t="s">
        <v>2753</v>
      </c>
      <c r="E124" s="2855">
        <v>0.1</v>
      </c>
      <c r="F124" s="2855">
        <v>15</v>
      </c>
    </row>
    <row r="125" spans="1:6" ht="24">
      <c r="A125" s="2855">
        <v>53</v>
      </c>
      <c r="B125" s="3572"/>
      <c r="C125" s="2855" t="s">
        <v>2754</v>
      </c>
      <c r="D125" s="2829" t="s">
        <v>2755</v>
      </c>
      <c r="E125" s="2855">
        <v>0.1</v>
      </c>
      <c r="F125" s="2855">
        <v>15</v>
      </c>
    </row>
    <row r="126" spans="1:6" ht="13.5">
      <c r="A126" s="2855">
        <v>54</v>
      </c>
      <c r="B126" s="2855" t="s">
        <v>2756</v>
      </c>
      <c r="C126" s="2855" t="s">
        <v>2757</v>
      </c>
      <c r="D126" s="2829" t="s">
        <v>2758</v>
      </c>
      <c r="E126" s="2855">
        <v>0.1</v>
      </c>
      <c r="F126" s="2855">
        <v>15</v>
      </c>
    </row>
    <row r="127" spans="1:6" ht="13.5">
      <c r="A127" s="2855">
        <v>55</v>
      </c>
      <c r="B127" s="3572" t="s">
        <v>2759</v>
      </c>
      <c r="C127" s="2855" t="s">
        <v>2760</v>
      </c>
      <c r="D127" s="2829" t="s">
        <v>2761</v>
      </c>
      <c r="E127" s="2855">
        <v>0.1</v>
      </c>
      <c r="F127" s="2855">
        <v>15</v>
      </c>
    </row>
    <row r="128" spans="1:6" ht="13.5">
      <c r="A128" s="2855">
        <v>56</v>
      </c>
      <c r="B128" s="3572"/>
      <c r="C128" s="2855" t="s">
        <v>2762</v>
      </c>
      <c r="D128" s="2829" t="s">
        <v>2763</v>
      </c>
      <c r="E128" s="2855">
        <v>0.1</v>
      </c>
      <c r="F128" s="2855">
        <v>15</v>
      </c>
    </row>
    <row r="129" spans="1:6" ht="24">
      <c r="A129" s="2855">
        <v>57</v>
      </c>
      <c r="B129" s="3572"/>
      <c r="C129" s="2855" t="s">
        <v>2764</v>
      </c>
      <c r="D129" s="2829" t="s">
        <v>2765</v>
      </c>
      <c r="E129" s="2855">
        <v>0.1</v>
      </c>
      <c r="F129" s="2855">
        <v>15</v>
      </c>
    </row>
    <row r="130" spans="1:6" ht="24">
      <c r="A130" s="2855">
        <v>58</v>
      </c>
      <c r="B130" s="3572" t="s">
        <v>2766</v>
      </c>
      <c r="C130" s="2855" t="s">
        <v>2767</v>
      </c>
      <c r="D130" s="2829" t="s">
        <v>2768</v>
      </c>
      <c r="E130" s="2855">
        <v>0.1</v>
      </c>
      <c r="F130" s="2855">
        <v>15</v>
      </c>
    </row>
    <row r="131" spans="1:6" ht="13.5">
      <c r="A131" s="2855">
        <v>59</v>
      </c>
      <c r="B131" s="3572"/>
      <c r="C131" s="2855" t="s">
        <v>2769</v>
      </c>
      <c r="D131" s="2829" t="s">
        <v>2770</v>
      </c>
      <c r="E131" s="2855">
        <v>0.1</v>
      </c>
      <c r="F131" s="2855">
        <v>15</v>
      </c>
    </row>
    <row r="132" spans="1:6" ht="13.5">
      <c r="A132" s="2855">
        <v>60</v>
      </c>
      <c r="B132" s="3573" t="s">
        <v>2771</v>
      </c>
      <c r="C132" s="2855" t="s">
        <v>2772</v>
      </c>
      <c r="D132" s="2829" t="s">
        <v>2773</v>
      </c>
      <c r="E132" s="2855">
        <v>0.1</v>
      </c>
      <c r="F132" s="2855">
        <v>15</v>
      </c>
    </row>
    <row r="133" spans="1:6" ht="13.5">
      <c r="A133" s="2855">
        <v>61</v>
      </c>
      <c r="B133" s="3574"/>
      <c r="C133" s="2855" t="s">
        <v>2774</v>
      </c>
      <c r="D133" s="2829" t="s">
        <v>2775</v>
      </c>
      <c r="E133" s="2855">
        <v>0.1</v>
      </c>
      <c r="F133" s="2855">
        <v>15</v>
      </c>
    </row>
    <row r="134" spans="1:6" ht="24">
      <c r="A134" s="2855">
        <v>62</v>
      </c>
      <c r="B134" s="2855" t="s">
        <v>2776</v>
      </c>
      <c r="C134" s="2855" t="s">
        <v>2777</v>
      </c>
      <c r="D134" s="2829" t="s">
        <v>2778</v>
      </c>
      <c r="E134" s="2855">
        <v>0.1</v>
      </c>
      <c r="F134" s="2855">
        <v>15</v>
      </c>
    </row>
    <row r="135" spans="1:6" ht="13.5">
      <c r="A135" s="2855">
        <v>63</v>
      </c>
      <c r="B135" s="3572" t="s">
        <v>2779</v>
      </c>
      <c r="C135" s="2855" t="s">
        <v>2780</v>
      </c>
      <c r="D135" s="2829" t="s">
        <v>2781</v>
      </c>
      <c r="E135" s="2855">
        <v>0.1</v>
      </c>
      <c r="F135" s="2855">
        <v>15</v>
      </c>
    </row>
    <row r="136" spans="1:6" ht="13.5">
      <c r="A136" s="2855">
        <v>64</v>
      </c>
      <c r="B136" s="3572"/>
      <c r="C136" s="2855" t="s">
        <v>2782</v>
      </c>
      <c r="D136" s="2829" t="s">
        <v>2783</v>
      </c>
      <c r="E136" s="2855">
        <v>0.1</v>
      </c>
      <c r="F136" s="2855">
        <v>15</v>
      </c>
    </row>
    <row r="137" spans="1:6" ht="13.5">
      <c r="A137" s="2855">
        <v>65</v>
      </c>
      <c r="B137" s="2855" t="s">
        <v>2784</v>
      </c>
      <c r="C137" s="2855" t="s">
        <v>2785</v>
      </c>
      <c r="D137" s="2829" t="s">
        <v>2786</v>
      </c>
      <c r="E137" s="2855">
        <v>0.1</v>
      </c>
      <c r="F137" s="2855">
        <v>15</v>
      </c>
    </row>
    <row r="138" spans="1:6" ht="13.5">
      <c r="A138" s="2855"/>
      <c r="B138" s="2855"/>
      <c r="C138" s="2855"/>
      <c r="D138" s="2855"/>
      <c r="E138" s="2855" t="s">
        <v>2787</v>
      </c>
      <c r="F138" s="2855"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2788</v>
      </c>
      <c r="B1" s="2863"/>
      <c r="C1" s="2863"/>
      <c r="D1" s="2863"/>
      <c r="E1" s="2863"/>
      <c r="F1" s="2863"/>
      <c r="G1" s="2863"/>
      <c r="H1" s="2863"/>
      <c r="I1" s="2863"/>
      <c r="J1" s="2863"/>
      <c r="K1" s="2863"/>
      <c r="L1" s="2863"/>
      <c r="M1" s="2863"/>
      <c r="N1" s="707"/>
    </row>
    <row r="2" spans="1:20">
      <c r="A2" s="2864" t="s">
        <v>2789</v>
      </c>
      <c r="B2" s="2865" t="s">
        <v>2585</v>
      </c>
      <c r="C2" s="2865" t="s">
        <v>2586</v>
      </c>
      <c r="D2" s="2865" t="s">
        <v>2587</v>
      </c>
      <c r="E2" s="2865" t="s">
        <v>2588</v>
      </c>
      <c r="F2" s="2865" t="s">
        <v>2589</v>
      </c>
      <c r="G2" s="2865" t="s">
        <v>2590</v>
      </c>
      <c r="H2" s="2866" t="s">
        <v>2591</v>
      </c>
      <c r="I2" s="2866" t="s">
        <v>2592</v>
      </c>
      <c r="J2" s="2867" t="s">
        <v>2593</v>
      </c>
      <c r="K2" s="2867" t="s">
        <v>2594</v>
      </c>
      <c r="L2" s="2867" t="s">
        <v>2595</v>
      </c>
      <c r="M2" s="2868" t="s">
        <v>2596</v>
      </c>
      <c r="Q2" s="2878" t="s">
        <v>2794</v>
      </c>
      <c r="R2" s="2878" t="s">
        <v>2795</v>
      </c>
      <c r="S2" s="2878" t="s">
        <v>2796</v>
      </c>
      <c r="T2" s="2878" t="s">
        <v>2797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2790</v>
      </c>
      <c r="B93" s="2863"/>
      <c r="C93" s="2863"/>
      <c r="D93" s="2863"/>
      <c r="E93" s="2863"/>
      <c r="F93" s="2863"/>
      <c r="G93" s="2863"/>
      <c r="H93" s="2863"/>
      <c r="I93" s="2863"/>
      <c r="J93" s="2863"/>
      <c r="K93" s="2863"/>
      <c r="L93" s="2863"/>
      <c r="M93" s="2863"/>
    </row>
    <row r="94" spans="1:20">
      <c r="A94" s="2864" t="s">
        <v>2789</v>
      </c>
      <c r="B94" s="2865" t="s">
        <v>2585</v>
      </c>
      <c r="C94" s="2865" t="s">
        <v>2586</v>
      </c>
      <c r="D94" s="2865" t="s">
        <v>2587</v>
      </c>
      <c r="E94" s="2865" t="s">
        <v>2588</v>
      </c>
      <c r="F94" s="2865" t="s">
        <v>2589</v>
      </c>
      <c r="G94" s="2865" t="s">
        <v>2590</v>
      </c>
      <c r="H94" s="2866" t="s">
        <v>2591</v>
      </c>
      <c r="I94" s="2866" t="s">
        <v>2592</v>
      </c>
      <c r="J94" s="2867" t="s">
        <v>2593</v>
      </c>
      <c r="K94" s="2867" t="s">
        <v>2594</v>
      </c>
      <c r="L94" s="2867" t="s">
        <v>2595</v>
      </c>
      <c r="M94" s="2868" t="s">
        <v>2596</v>
      </c>
      <c r="N94">
        <f>SUMPRODUCT((A95:A184=ROUNDDOWN(基准地价修正!G3,1))*(B94:M94=基准地价修正!G2)*(B95:M184))</f>
        <v>0</v>
      </c>
      <c r="Q94" s="2878" t="s">
        <v>2794</v>
      </c>
      <c r="R94" s="2878" t="s">
        <v>2795</v>
      </c>
      <c r="S94" s="2878" t="s">
        <v>2796</v>
      </c>
      <c r="T94" s="2878" t="s">
        <v>2797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2791</v>
      </c>
      <c r="B185" s="2863"/>
      <c r="C185" s="2863"/>
      <c r="D185" s="2863"/>
      <c r="E185" s="2863"/>
      <c r="F185" s="2863"/>
      <c r="G185" s="2863"/>
      <c r="H185" s="2863"/>
      <c r="I185" s="2863"/>
      <c r="J185" s="2863"/>
      <c r="K185" s="2863"/>
      <c r="L185" s="2863"/>
      <c r="M185" s="2863"/>
    </row>
    <row r="186" spans="1:20">
      <c r="A186" s="2864" t="s">
        <v>2789</v>
      </c>
      <c r="B186" s="2865" t="s">
        <v>2585</v>
      </c>
      <c r="C186" s="2865" t="s">
        <v>2586</v>
      </c>
      <c r="D186" s="2865" t="s">
        <v>2587</v>
      </c>
      <c r="E186" s="2865" t="s">
        <v>2588</v>
      </c>
      <c r="F186" s="2865" t="s">
        <v>2589</v>
      </c>
      <c r="G186" s="2865" t="s">
        <v>2590</v>
      </c>
      <c r="H186" s="2866" t="s">
        <v>2591</v>
      </c>
      <c r="I186" s="2866" t="s">
        <v>2592</v>
      </c>
      <c r="J186" s="2867" t="s">
        <v>2593</v>
      </c>
      <c r="K186" s="2867" t="s">
        <v>2594</v>
      </c>
      <c r="L186" s="2867" t="s">
        <v>2595</v>
      </c>
      <c r="M186" s="2868" t="s">
        <v>2596</v>
      </c>
      <c r="Q186" s="2878" t="s">
        <v>2794</v>
      </c>
      <c r="R186" s="2878" t="s">
        <v>2795</v>
      </c>
      <c r="S186" s="2878" t="s">
        <v>2796</v>
      </c>
      <c r="T186" s="2878" t="s">
        <v>2797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2792</v>
      </c>
      <c r="B277" s="2863"/>
      <c r="C277" s="2863"/>
      <c r="D277" s="2863"/>
      <c r="E277" s="2863"/>
      <c r="F277" s="2863"/>
      <c r="G277" s="2863"/>
      <c r="H277" s="2863"/>
      <c r="I277" s="2863"/>
      <c r="J277" s="2863"/>
      <c r="K277" s="2863"/>
      <c r="L277" s="2863"/>
      <c r="M277" s="2863"/>
    </row>
    <row r="278" spans="1:21">
      <c r="A278" s="2864" t="s">
        <v>2789</v>
      </c>
      <c r="B278" s="2865" t="s">
        <v>2585</v>
      </c>
      <c r="C278" s="2865" t="s">
        <v>2586</v>
      </c>
      <c r="D278" s="2865" t="s">
        <v>2587</v>
      </c>
      <c r="E278" s="2865" t="s">
        <v>2588</v>
      </c>
      <c r="F278" s="2865" t="s">
        <v>2589</v>
      </c>
      <c r="G278" s="2865" t="s">
        <v>2590</v>
      </c>
      <c r="H278" s="2866" t="s">
        <v>2591</v>
      </c>
      <c r="I278" s="2866" t="s">
        <v>2592</v>
      </c>
      <c r="J278" s="2867" t="s">
        <v>2593</v>
      </c>
      <c r="K278" s="2867" t="s">
        <v>2594</v>
      </c>
      <c r="L278" s="2867" t="s">
        <v>2595</v>
      </c>
      <c r="M278" s="2868" t="s">
        <v>2596</v>
      </c>
      <c r="Q278" s="2878" t="s">
        <v>2794</v>
      </c>
      <c r="R278" s="2878" t="s">
        <v>2795</v>
      </c>
      <c r="S278" s="2878" t="s">
        <v>2798</v>
      </c>
      <c r="T278" s="2878" t="s">
        <v>2799</v>
      </c>
      <c r="U278" s="2878" t="s">
        <v>2797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2793</v>
      </c>
      <c r="B369" s="2876"/>
      <c r="C369" s="2876"/>
      <c r="D369" s="2876"/>
      <c r="E369" s="2876"/>
      <c r="F369" s="2876"/>
      <c r="G369" s="2876"/>
      <c r="H369" s="2876"/>
      <c r="I369" s="2876"/>
      <c r="J369" s="2876"/>
      <c r="K369" s="2876"/>
      <c r="L369" s="2876"/>
      <c r="M369" s="2876"/>
    </row>
    <row r="370" spans="1:20">
      <c r="A370" s="2864" t="s">
        <v>2789</v>
      </c>
      <c r="B370" s="2865" t="s">
        <v>2585</v>
      </c>
      <c r="C370" s="2865" t="s">
        <v>2586</v>
      </c>
      <c r="D370" s="2865" t="s">
        <v>2587</v>
      </c>
      <c r="E370" s="2865" t="s">
        <v>2588</v>
      </c>
      <c r="F370" s="2865" t="s">
        <v>2589</v>
      </c>
      <c r="G370" s="2865" t="s">
        <v>2590</v>
      </c>
      <c r="H370" s="2866" t="s">
        <v>2591</v>
      </c>
      <c r="I370" s="2866" t="s">
        <v>2592</v>
      </c>
      <c r="J370" s="2867" t="s">
        <v>2593</v>
      </c>
      <c r="K370" s="2867" t="s">
        <v>2594</v>
      </c>
      <c r="L370" s="2867" t="s">
        <v>2595</v>
      </c>
      <c r="M370" s="2868" t="s">
        <v>2596</v>
      </c>
      <c r="N370">
        <f>SUMPRODUCT((A371:A460=ROUNDDOWN(基准地价修正!G3,1))*(B370:M370=基准地价修正!G2)*(B371:M460))</f>
        <v>0</v>
      </c>
      <c r="Q370" s="2878" t="s">
        <v>2794</v>
      </c>
      <c r="R370" s="2878" t="s">
        <v>2795</v>
      </c>
      <c r="S370" s="2878" t="s">
        <v>2796</v>
      </c>
      <c r="T370" s="2878" t="s">
        <v>2797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260393</v>
      </c>
      <c r="C2" s="2" t="s">
        <v>106</v>
      </c>
      <c r="D2" s="191"/>
      <c r="E2" s="191"/>
      <c r="F2" s="191"/>
      <c r="G2" s="191"/>
    </row>
    <row r="3" spans="1:7" s="192" customFormat="1" ht="18" customHeight="1" thickBot="1">
      <c r="A3" s="195" t="s">
        <v>58</v>
      </c>
      <c r="B3" s="196">
        <f ca="1">ROUND(B2*10000/'数据-汇总表'!E3,0)</f>
        <v>10338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3023</v>
      </c>
      <c r="D10" s="795">
        <f>'数据-汇总表'!E6</f>
        <v>251875.15999999997</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5038</v>
      </c>
      <c r="D19" s="204">
        <f>'数据-汇总表'!E3</f>
        <v>251875.15999999997</v>
      </c>
      <c r="E19" s="203">
        <f>'数据-取费表'!B31</f>
        <v>200</v>
      </c>
      <c r="F19" s="223"/>
      <c r="G19" s="1" t="s">
        <v>436</v>
      </c>
    </row>
    <row r="20" spans="1:7" s="206" customFormat="1" ht="13.5" customHeight="1">
      <c r="A20" s="731" t="s">
        <v>419</v>
      </c>
      <c r="B20" s="202" t="s">
        <v>77</v>
      </c>
      <c r="C20" s="224">
        <f>ROUND((C5+C19)*F20,0)</f>
        <v>769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2496</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483</v>
      </c>
      <c r="D24" s="230"/>
      <c r="E24" s="230"/>
      <c r="F24" s="231"/>
      <c r="G24" s="232" t="s">
        <v>82</v>
      </c>
    </row>
    <row r="25" spans="1:7" s="206" customFormat="1" ht="24">
      <c r="A25" s="734" t="s">
        <v>348</v>
      </c>
      <c r="B25" s="207" t="s">
        <v>420</v>
      </c>
      <c r="C25" s="1042">
        <f ca="1">ROUND(IF('数据-取费表'!B22&lt;=1,C20*F22*'数据-取费表'!B23/2,C20*(POWER((1+F22),'数据-取费表'!B23/2)-1)),0)</f>
        <v>36</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5283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5283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37608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190041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163719</v>
      </c>
      <c r="D34" s="209"/>
      <c r="E34" s="212"/>
      <c r="F34" s="249">
        <f>IF('数据-取费表'!B24=0,1,'数据-取费表'!N16)</f>
        <v>1</v>
      </c>
      <c r="G34" s="211" t="s">
        <v>89</v>
      </c>
    </row>
    <row r="35" spans="1:7" ht="13.5" customHeight="1">
      <c r="A35" s="734" t="s">
        <v>351</v>
      </c>
      <c r="B35" s="207" t="s">
        <v>33</v>
      </c>
      <c r="C35" s="212">
        <f>ROUND(C34*F35,0)</f>
        <v>16372</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5038</v>
      </c>
      <c r="D37" s="209">
        <f>'数据-汇总表'!E3</f>
        <v>251875.15999999997</v>
      </c>
      <c r="E37" s="241">
        <f>'数据-取费表'!B35</f>
        <v>200</v>
      </c>
      <c r="F37" s="251"/>
      <c r="G37" s="253" t="s">
        <v>92</v>
      </c>
    </row>
    <row r="38" spans="1:7" ht="13.5" customHeight="1">
      <c r="A38" s="734" t="s">
        <v>354</v>
      </c>
      <c r="B38" s="207" t="s">
        <v>36</v>
      </c>
      <c r="C38" s="212">
        <f>ROUND(C34*F38,0)</f>
        <v>4912</v>
      </c>
      <c r="D38" s="212"/>
      <c r="E38" s="212"/>
      <c r="F38" s="251">
        <f>'数据-取费表'!B36</f>
        <v>0.03</v>
      </c>
      <c r="G38" s="211" t="s">
        <v>90</v>
      </c>
    </row>
    <row r="39" spans="1:7" s="206" customFormat="1" ht="13.5" customHeight="1">
      <c r="A39" s="731" t="s">
        <v>338</v>
      </c>
      <c r="B39" s="202" t="s">
        <v>77</v>
      </c>
      <c r="C39" s="224">
        <f>ROUND(C33*F20,0)</f>
        <v>5701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9172</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8905</v>
      </c>
      <c r="D42" s="230"/>
      <c r="E42" s="230"/>
      <c r="F42" s="231"/>
      <c r="G42" s="3436" t="s">
        <v>94</v>
      </c>
    </row>
    <row r="43" spans="1:7" ht="13.5" customHeight="1">
      <c r="A43" s="734" t="s">
        <v>347</v>
      </c>
      <c r="B43" s="207" t="s">
        <v>426</v>
      </c>
      <c r="C43" s="230">
        <f ca="1">ROUND(IF('数据-取费表'!B22&lt;=1,C39*F22*'数据-取费表'!B21/2,C39*(POWER((1+F22),'数据-取费表'!B21/2)-1)),0)</f>
        <v>267</v>
      </c>
      <c r="D43" s="230"/>
      <c r="E43" s="230"/>
      <c r="F43" s="231"/>
      <c r="G43" s="3437"/>
    </row>
    <row r="44" spans="1:7" ht="13.5" customHeight="1">
      <c r="A44" s="734" t="s">
        <v>348</v>
      </c>
      <c r="B44" s="207" t="s">
        <v>428</v>
      </c>
      <c r="C44" s="230">
        <f ca="1">ROUND(IF('数据-取费表'!B22&lt;=1,C40*F22*'数据-取费表'!B21/2,C40*(POWER((1+F22),'数据-取费表'!B21/2)-1)),4)</f>
        <v>1.4E-3</v>
      </c>
      <c r="D44" s="230"/>
      <c r="E44" s="230"/>
      <c r="F44" s="231"/>
      <c r="G44" s="3438"/>
    </row>
    <row r="45" spans="1:7" s="206" customFormat="1" ht="13.5" customHeight="1">
      <c r="A45" s="731" t="s">
        <v>341</v>
      </c>
      <c r="B45" s="236" t="s">
        <v>85</v>
      </c>
      <c r="C45" s="237">
        <f>C46</f>
        <v>39148</v>
      </c>
      <c r="D45" s="227">
        <f>C47</f>
        <v>6.0000000000000001E-3</v>
      </c>
      <c r="E45" s="228" t="s">
        <v>102</v>
      </c>
      <c r="F45" s="238"/>
      <c r="G45" s="239" t="s">
        <v>434</v>
      </c>
    </row>
    <row r="46" spans="1:7" s="206" customFormat="1" ht="13.5" customHeight="1">
      <c r="A46" s="734" t="s">
        <v>349</v>
      </c>
      <c r="B46" s="240" t="s">
        <v>427</v>
      </c>
      <c r="C46" s="241">
        <f>ROUND((C33+C39)*F27,0)</f>
        <v>39148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268416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222785</v>
      </c>
      <c r="D51" s="224"/>
      <c r="E51" s="224"/>
      <c r="F51" s="256"/>
      <c r="G51" s="226" t="s">
        <v>37</v>
      </c>
    </row>
    <row r="52" spans="1:7" s="200" customFormat="1" ht="16.5" thickBot="1">
      <c r="A52" s="257" t="s">
        <v>38</v>
      </c>
      <c r="B52" s="258"/>
      <c r="C52" s="259">
        <f ca="1">C31+C51</f>
        <v>260393</v>
      </c>
      <c r="D52" s="258"/>
      <c r="E52" s="258"/>
      <c r="F52" s="258"/>
      <c r="G52" s="260"/>
    </row>
    <row r="55" spans="1:7" ht="15">
      <c r="B55" s="262" t="s">
        <v>39</v>
      </c>
      <c r="C55" s="263"/>
    </row>
    <row r="56" spans="1:7">
      <c r="B56" s="265" t="s">
        <v>40</v>
      </c>
      <c r="C56" s="266">
        <f ca="1">ROUND(C51/C52,3)</f>
        <v>0.85599999999999998</v>
      </c>
    </row>
    <row r="57" spans="1:7">
      <c r="B57" s="265" t="s">
        <v>41</v>
      </c>
      <c r="C57" s="267">
        <f ca="1">1-C56</f>
        <v>0.14400000000000002</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84" t="s">
        <v>3171</v>
      </c>
      <c r="B1" s="3584"/>
    </row>
    <row r="2" spans="1:7" ht="14.25" thickBot="1">
      <c r="A2" s="2966"/>
      <c r="B2" s="2966"/>
    </row>
    <row r="3" spans="1:7" ht="14.25" thickBot="1">
      <c r="A3" s="2966"/>
      <c r="B3" s="2966"/>
      <c r="C3" s="2967" t="s">
        <v>2801</v>
      </c>
      <c r="D3" s="2967" t="s">
        <v>2857</v>
      </c>
      <c r="E3" s="2967" t="s">
        <v>2803</v>
      </c>
      <c r="F3" s="2967" t="s">
        <v>2858</v>
      </c>
      <c r="G3" s="2967" t="s">
        <v>2621</v>
      </c>
    </row>
    <row r="4" spans="1:7" ht="14.25" thickBot="1">
      <c r="A4" s="2968" t="s">
        <v>2856</v>
      </c>
      <c r="B4" s="2969" t="s">
        <v>2862</v>
      </c>
      <c r="C4" s="2967"/>
      <c r="D4" s="2967"/>
      <c r="E4" s="2967"/>
      <c r="F4" s="2967"/>
      <c r="G4" s="2967"/>
    </row>
    <row r="5" spans="1:7">
      <c r="A5" s="2970" t="s">
        <v>2830</v>
      </c>
      <c r="B5" s="2971" t="s">
        <v>2844</v>
      </c>
      <c r="C5" s="2972">
        <v>9.8000000000000004E-2</v>
      </c>
      <c r="D5" s="2972">
        <v>8.6999999999999994E-2</v>
      </c>
      <c r="E5" s="2972">
        <v>8.6999999999999994E-2</v>
      </c>
      <c r="F5" s="2972">
        <v>9.8000000000000004E-2</v>
      </c>
      <c r="G5" s="2973">
        <v>9.5000000000000001E-2</v>
      </c>
    </row>
    <row r="6" spans="1:7">
      <c r="A6" s="2974" t="s">
        <v>144</v>
      </c>
      <c r="B6" s="2975" t="s">
        <v>2859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2913</v>
      </c>
      <c r="C29" s="2984"/>
      <c r="D29" s="2980">
        <v>5.1999999999999998E-2</v>
      </c>
      <c r="E29" s="2980">
        <v>7.0000000000000007E-2</v>
      </c>
      <c r="F29" s="2984"/>
      <c r="G29" s="2982">
        <v>7.0999999999999994E-2</v>
      </c>
    </row>
    <row r="30" spans="1:7">
      <c r="A30" s="2985" t="s">
        <v>296</v>
      </c>
      <c r="B30" s="2971" t="s">
        <v>2846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2916</v>
      </c>
      <c r="C50" s="2976">
        <v>9.8000000000000004E-2</v>
      </c>
      <c r="D50" s="2976">
        <v>7.2999999999999995E-2</v>
      </c>
      <c r="E50" s="2976">
        <v>7.0999999999999994E-2</v>
      </c>
      <c r="F50" s="2987"/>
      <c r="G50" s="2977">
        <v>7.2999999999999995E-2</v>
      </c>
    </row>
    <row r="51" spans="1:7">
      <c r="A51" s="2986" t="s">
        <v>296</v>
      </c>
      <c r="B51" s="2975" t="s">
        <v>2918</v>
      </c>
      <c r="C51" s="2976">
        <v>9.9000000000000005E-2</v>
      </c>
      <c r="D51" s="2976">
        <v>8.5000000000000006E-2</v>
      </c>
      <c r="E51" s="2976">
        <v>6.3E-2</v>
      </c>
      <c r="F51" s="2987"/>
      <c r="G51" s="2977">
        <v>9.6000000000000002E-2</v>
      </c>
    </row>
    <row r="52" spans="1:7">
      <c r="A52" s="2986" t="s">
        <v>296</v>
      </c>
      <c r="B52" s="2975" t="s">
        <v>2922</v>
      </c>
      <c r="C52" s="2976">
        <v>7.3999999999999996E-2</v>
      </c>
      <c r="D52" s="2976">
        <v>9.6000000000000002E-2</v>
      </c>
      <c r="E52" s="2976">
        <v>0.05</v>
      </c>
      <c r="F52" s="2987"/>
      <c r="G52" s="2977">
        <v>9.8000000000000004E-2</v>
      </c>
    </row>
    <row r="53" spans="1:7">
      <c r="A53" s="2986" t="s">
        <v>296</v>
      </c>
      <c r="B53" s="2975" t="s">
        <v>2927</v>
      </c>
      <c r="C53" s="2976">
        <v>8.5999999999999993E-2</v>
      </c>
      <c r="D53" s="2987"/>
      <c r="E53" s="2976">
        <v>9.1999999999999998E-2</v>
      </c>
      <c r="F53" s="2987"/>
      <c r="G53" s="2988"/>
    </row>
    <row r="54" spans="1:7" ht="14.25" thickBot="1">
      <c r="A54" s="2989" t="s">
        <v>296</v>
      </c>
      <c r="B54" s="2979" t="s">
        <v>2930</v>
      </c>
      <c r="C54" s="2980">
        <v>9.6000000000000002E-2</v>
      </c>
      <c r="D54" s="2981"/>
      <c r="E54" s="2990"/>
      <c r="F54" s="2981"/>
      <c r="G54" s="2991"/>
    </row>
    <row r="55" spans="1:7">
      <c r="A55" s="2985" t="s">
        <v>110</v>
      </c>
      <c r="B55" s="2971" t="s">
        <v>2847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2928</v>
      </c>
      <c r="C78" s="2976">
        <v>0.1</v>
      </c>
      <c r="D78" s="2976">
        <v>8.5000000000000006E-2</v>
      </c>
      <c r="E78" s="2976">
        <v>9.6000000000000002E-2</v>
      </c>
      <c r="F78" s="2987"/>
      <c r="G78" s="2977">
        <v>9.6000000000000002E-2</v>
      </c>
    </row>
    <row r="79" spans="1:7">
      <c r="A79" s="2986" t="s">
        <v>110</v>
      </c>
      <c r="B79" s="2975" t="s">
        <v>2931</v>
      </c>
      <c r="C79" s="2976">
        <v>0.05</v>
      </c>
      <c r="D79" s="2976">
        <v>9.6000000000000002E-2</v>
      </c>
      <c r="E79" s="2976">
        <v>9.5000000000000001E-2</v>
      </c>
      <c r="F79" s="2987"/>
      <c r="G79" s="2977">
        <v>9.8000000000000004E-2</v>
      </c>
    </row>
    <row r="80" spans="1:7">
      <c r="A80" s="2986" t="s">
        <v>110</v>
      </c>
      <c r="B80" s="2975" t="s">
        <v>2935</v>
      </c>
      <c r="C80" s="2976">
        <v>8.5999999999999993E-2</v>
      </c>
      <c r="D80" s="2992"/>
      <c r="E80" s="2976">
        <v>0.1</v>
      </c>
      <c r="F80" s="2987"/>
      <c r="G80" s="2988"/>
    </row>
    <row r="81" spans="1:7">
      <c r="A81" s="2986" t="s">
        <v>110</v>
      </c>
      <c r="B81" s="2975" t="s">
        <v>2940</v>
      </c>
      <c r="C81" s="2976">
        <v>9.6000000000000002E-2</v>
      </c>
      <c r="D81" s="2987"/>
      <c r="E81" s="2976">
        <v>9.8000000000000004E-2</v>
      </c>
      <c r="F81" s="2987"/>
      <c r="G81" s="2988"/>
    </row>
    <row r="82" spans="1:7">
      <c r="A82" s="2986" t="s">
        <v>110</v>
      </c>
      <c r="B82" s="2975" t="s">
        <v>2947</v>
      </c>
      <c r="C82" s="2992"/>
      <c r="D82" s="2987"/>
      <c r="E82" s="2976">
        <v>7.6999999999999999E-2</v>
      </c>
      <c r="F82" s="2987"/>
      <c r="G82" s="2988"/>
    </row>
    <row r="83" spans="1:7">
      <c r="A83" s="2986" t="s">
        <v>110</v>
      </c>
      <c r="B83" s="2975" t="s">
        <v>2953</v>
      </c>
      <c r="C83" s="2987"/>
      <c r="D83" s="2987"/>
      <c r="E83" s="2987"/>
      <c r="F83" s="2976">
        <v>0.1</v>
      </c>
      <c r="G83" s="2993"/>
    </row>
    <row r="84" spans="1:7">
      <c r="A84" s="2986" t="s">
        <v>110</v>
      </c>
      <c r="B84" s="2975" t="s">
        <v>2960</v>
      </c>
      <c r="C84" s="2987"/>
      <c r="D84" s="2987"/>
      <c r="E84" s="2987"/>
      <c r="F84" s="2976">
        <v>0.1</v>
      </c>
      <c r="G84" s="2993"/>
    </row>
    <row r="85" spans="1:7">
      <c r="A85" s="2986" t="s">
        <v>110</v>
      </c>
      <c r="B85" s="2975" t="s">
        <v>2967</v>
      </c>
      <c r="C85" s="2987"/>
      <c r="D85" s="2987"/>
      <c r="E85" s="2987"/>
      <c r="F85" s="2976">
        <v>0.1</v>
      </c>
      <c r="G85" s="2993"/>
    </row>
    <row r="86" spans="1:7" ht="14.25" thickBot="1">
      <c r="A86" s="2989" t="s">
        <v>110</v>
      </c>
      <c r="B86" s="2979" t="s">
        <v>2972</v>
      </c>
      <c r="C86" s="2980">
        <v>9.8000000000000004E-2</v>
      </c>
      <c r="D86" s="2980">
        <v>9.8000000000000004E-2</v>
      </c>
      <c r="E86" s="2980">
        <v>9.6000000000000002E-2</v>
      </c>
      <c r="F86" s="2990"/>
      <c r="G86" s="2982">
        <v>0.1</v>
      </c>
    </row>
    <row r="87" spans="1:7">
      <c r="A87" s="2985" t="s">
        <v>303</v>
      </c>
      <c r="B87" s="2971" t="s">
        <v>2848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2941</v>
      </c>
      <c r="C113" s="2976">
        <v>0.1</v>
      </c>
      <c r="D113" s="2976">
        <v>0.1</v>
      </c>
      <c r="E113" s="2987"/>
      <c r="F113" s="2987"/>
      <c r="G113" s="2977">
        <v>0.1</v>
      </c>
    </row>
    <row r="114" spans="1:7">
      <c r="A114" s="2986" t="s">
        <v>303</v>
      </c>
      <c r="B114" s="2975" t="s">
        <v>2948</v>
      </c>
      <c r="C114" s="2976">
        <v>9.7000000000000003E-2</v>
      </c>
      <c r="D114" s="2976">
        <v>9.7000000000000003E-2</v>
      </c>
      <c r="E114" s="2987"/>
      <c r="F114" s="2987"/>
      <c r="G114" s="2977">
        <v>9.9000000000000005E-2</v>
      </c>
    </row>
    <row r="115" spans="1:7">
      <c r="A115" s="2986" t="s">
        <v>303</v>
      </c>
      <c r="B115" s="2975" t="s">
        <v>2954</v>
      </c>
      <c r="C115" s="2976">
        <v>0.1</v>
      </c>
      <c r="D115" s="2976">
        <v>0.1</v>
      </c>
      <c r="E115" s="2987"/>
      <c r="F115" s="2987"/>
      <c r="G115" s="2977">
        <v>0.1</v>
      </c>
    </row>
    <row r="116" spans="1:7">
      <c r="A116" s="2986" t="s">
        <v>303</v>
      </c>
      <c r="B116" s="2975" t="s">
        <v>2961</v>
      </c>
      <c r="C116" s="2976">
        <v>0.1</v>
      </c>
      <c r="D116" s="2976">
        <v>0.1</v>
      </c>
      <c r="E116" s="2987"/>
      <c r="F116" s="2987"/>
      <c r="G116" s="2977">
        <v>0.1</v>
      </c>
    </row>
    <row r="117" spans="1:7">
      <c r="A117" s="2986" t="s">
        <v>303</v>
      </c>
      <c r="B117" s="2975" t="s">
        <v>2968</v>
      </c>
      <c r="C117" s="2976">
        <v>9.7000000000000003E-2</v>
      </c>
      <c r="D117" s="2976">
        <v>9.7000000000000003E-2</v>
      </c>
      <c r="E117" s="2987"/>
      <c r="F117" s="2987"/>
      <c r="G117" s="2977">
        <v>9.7000000000000003E-2</v>
      </c>
    </row>
    <row r="118" spans="1:7">
      <c r="A118" s="2986" t="s">
        <v>303</v>
      </c>
      <c r="B118" s="2975" t="s">
        <v>2973</v>
      </c>
      <c r="C118" s="2976">
        <v>0.1</v>
      </c>
      <c r="D118" s="2976">
        <v>0.1</v>
      </c>
      <c r="E118" s="2987"/>
      <c r="F118" s="2987"/>
      <c r="G118" s="2977">
        <v>0.1</v>
      </c>
    </row>
    <row r="119" spans="1:7">
      <c r="A119" s="2986" t="s">
        <v>303</v>
      </c>
      <c r="B119" s="2975" t="s">
        <v>2977</v>
      </c>
      <c r="C119" s="2976">
        <v>5.0999999999999997E-2</v>
      </c>
      <c r="D119" s="2976">
        <v>5.1999999999999998E-2</v>
      </c>
      <c r="E119" s="2987"/>
      <c r="F119" s="2992"/>
      <c r="G119" s="2977">
        <v>0.06</v>
      </c>
    </row>
    <row r="120" spans="1:7">
      <c r="A120" s="2986" t="s">
        <v>303</v>
      </c>
      <c r="B120" s="2975" t="s">
        <v>2981</v>
      </c>
      <c r="C120" s="2987"/>
      <c r="D120" s="2987"/>
      <c r="E120" s="2987"/>
      <c r="F120" s="2976">
        <v>0.1</v>
      </c>
      <c r="G120" s="2993"/>
    </row>
    <row r="121" spans="1:7">
      <c r="A121" s="2986" t="s">
        <v>303</v>
      </c>
      <c r="B121" s="2975" t="s">
        <v>2986</v>
      </c>
      <c r="C121" s="2987"/>
      <c r="D121" s="2987"/>
      <c r="E121" s="2987"/>
      <c r="F121" s="2976">
        <v>0.1</v>
      </c>
      <c r="G121" s="2993"/>
    </row>
    <row r="122" spans="1:7">
      <c r="A122" s="2986" t="s">
        <v>303</v>
      </c>
      <c r="B122" s="2975" t="s">
        <v>2991</v>
      </c>
      <c r="C122" s="2976">
        <v>0.1</v>
      </c>
      <c r="D122" s="2976">
        <v>0.1</v>
      </c>
      <c r="E122" s="2976">
        <v>9.8000000000000004E-2</v>
      </c>
      <c r="F122" s="2976">
        <v>0.1</v>
      </c>
      <c r="G122" s="2977">
        <v>0.1</v>
      </c>
    </row>
    <row r="123" spans="1:7">
      <c r="A123" s="2986" t="s">
        <v>303</v>
      </c>
      <c r="B123" s="2975" t="s">
        <v>2996</v>
      </c>
      <c r="C123" s="2976">
        <v>0.1</v>
      </c>
      <c r="D123" s="2976">
        <v>0.1</v>
      </c>
      <c r="E123" s="2976">
        <v>9.8000000000000004E-2</v>
      </c>
      <c r="F123" s="2976">
        <v>0.1</v>
      </c>
      <c r="G123" s="2977">
        <v>0.1</v>
      </c>
    </row>
    <row r="124" spans="1:7">
      <c r="A124" s="2986" t="s">
        <v>303</v>
      </c>
      <c r="B124" s="2975" t="s">
        <v>3001</v>
      </c>
      <c r="C124" s="2976">
        <v>0.1</v>
      </c>
      <c r="D124" s="2976">
        <v>0.1</v>
      </c>
      <c r="E124" s="2976">
        <v>9.8000000000000004E-2</v>
      </c>
      <c r="F124" s="2992"/>
      <c r="G124" s="2977">
        <v>0.1</v>
      </c>
    </row>
    <row r="125" spans="1:7">
      <c r="A125" s="2986" t="s">
        <v>303</v>
      </c>
      <c r="B125" s="2975" t="s">
        <v>3006</v>
      </c>
      <c r="C125" s="2976">
        <v>9.8000000000000004E-2</v>
      </c>
      <c r="D125" s="2976">
        <v>9.8000000000000004E-2</v>
      </c>
      <c r="E125" s="2976">
        <v>9.6000000000000002E-2</v>
      </c>
      <c r="F125" s="2992"/>
      <c r="G125" s="2977">
        <v>0.1</v>
      </c>
    </row>
    <row r="126" spans="1:7" ht="14.25" thickBot="1">
      <c r="A126" s="2989" t="s">
        <v>303</v>
      </c>
      <c r="B126" s="2979" t="s">
        <v>3172</v>
      </c>
      <c r="C126" s="2980">
        <v>0.1</v>
      </c>
      <c r="D126" s="2980">
        <v>0.1</v>
      </c>
      <c r="E126" s="2980">
        <v>9.8000000000000004E-2</v>
      </c>
      <c r="F126" s="2980">
        <v>0.1</v>
      </c>
      <c r="G126" s="2982">
        <v>0.1</v>
      </c>
    </row>
    <row r="127" spans="1:7">
      <c r="A127" s="2985" t="s">
        <v>29</v>
      </c>
      <c r="B127" s="2971" t="s">
        <v>2849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2919</v>
      </c>
      <c r="C148" s="2976">
        <v>0.13</v>
      </c>
      <c r="D148" s="2976">
        <v>0.13</v>
      </c>
      <c r="E148" s="2976">
        <v>0.13</v>
      </c>
      <c r="F148" s="2987"/>
      <c r="G148" s="2977">
        <v>0.13</v>
      </c>
    </row>
    <row r="149" spans="1:7">
      <c r="A149" s="2986" t="s">
        <v>29</v>
      </c>
      <c r="B149" s="2975" t="s">
        <v>2923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2942</v>
      </c>
      <c r="C153" s="2976">
        <v>0.13</v>
      </c>
      <c r="D153" s="2976">
        <v>0.13</v>
      </c>
      <c r="E153" s="2976">
        <v>0.13</v>
      </c>
      <c r="F153" s="2976">
        <v>0.13</v>
      </c>
      <c r="G153" s="2977">
        <v>0.13</v>
      </c>
    </row>
    <row r="154" spans="1:7">
      <c r="A154" s="2986" t="s">
        <v>29</v>
      </c>
      <c r="B154" s="2975" t="s">
        <v>2949</v>
      </c>
      <c r="C154" s="2976">
        <v>0.121</v>
      </c>
      <c r="D154" s="2976">
        <v>0.121</v>
      </c>
      <c r="E154" s="2976">
        <v>0.105</v>
      </c>
      <c r="F154" s="2976">
        <v>0.121</v>
      </c>
      <c r="G154" s="2977">
        <v>0.123</v>
      </c>
    </row>
    <row r="155" spans="1:7">
      <c r="A155" s="2986" t="s">
        <v>29</v>
      </c>
      <c r="B155" s="2975" t="s">
        <v>2955</v>
      </c>
      <c r="C155" s="2976">
        <v>0.1</v>
      </c>
      <c r="D155" s="2976">
        <v>0.1</v>
      </c>
      <c r="E155" s="2976">
        <v>0.1</v>
      </c>
      <c r="F155" s="2976">
        <v>0.1</v>
      </c>
      <c r="G155" s="2977">
        <v>0.1</v>
      </c>
    </row>
    <row r="156" spans="1:7">
      <c r="A156" s="2986" t="s">
        <v>29</v>
      </c>
      <c r="B156" s="2975" t="s">
        <v>2962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2982</v>
      </c>
      <c r="C160" s="2976">
        <v>0.13</v>
      </c>
      <c r="D160" s="2976">
        <v>0.13</v>
      </c>
      <c r="E160" s="2976">
        <v>0.124</v>
      </c>
      <c r="F160" s="2976">
        <v>0.126</v>
      </c>
      <c r="G160" s="2977">
        <v>0.13</v>
      </c>
    </row>
    <row r="161" spans="1:7">
      <c r="A161" s="2986" t="s">
        <v>29</v>
      </c>
      <c r="B161" s="2975" t="s">
        <v>2987</v>
      </c>
      <c r="C161" s="2976">
        <v>0.13</v>
      </c>
      <c r="D161" s="2976">
        <v>0.13</v>
      </c>
      <c r="E161" s="2976">
        <v>0.124</v>
      </c>
      <c r="F161" s="2976">
        <v>0.127</v>
      </c>
      <c r="G161" s="2977">
        <v>0.13</v>
      </c>
    </row>
    <row r="162" spans="1:7">
      <c r="A162" s="2986" t="s">
        <v>29</v>
      </c>
      <c r="B162" s="2975" t="s">
        <v>2992</v>
      </c>
      <c r="C162" s="2976">
        <v>0.1</v>
      </c>
      <c r="D162" s="2976">
        <v>0.1</v>
      </c>
      <c r="E162" s="2976">
        <v>0.1</v>
      </c>
      <c r="F162" s="2976">
        <v>0.121</v>
      </c>
      <c r="G162" s="2977">
        <v>0.105</v>
      </c>
    </row>
    <row r="163" spans="1:7">
      <c r="A163" s="2986" t="s">
        <v>29</v>
      </c>
      <c r="B163" s="2975" t="s">
        <v>2997</v>
      </c>
      <c r="C163" s="2976">
        <v>0.1</v>
      </c>
      <c r="D163" s="2976">
        <v>0.1</v>
      </c>
      <c r="E163" s="2976">
        <v>0.1</v>
      </c>
      <c r="F163" s="2976">
        <v>0.1</v>
      </c>
      <c r="G163" s="2977">
        <v>0.1</v>
      </c>
    </row>
    <row r="164" spans="1:7">
      <c r="A164" s="2986" t="s">
        <v>29</v>
      </c>
      <c r="B164" s="2975" t="s">
        <v>3002</v>
      </c>
      <c r="C164" s="2992"/>
      <c r="D164" s="2992"/>
      <c r="E164" s="2992"/>
      <c r="F164" s="2976">
        <v>0.1</v>
      </c>
      <c r="G164" s="2988"/>
    </row>
    <row r="165" spans="1:7">
      <c r="A165" s="2986" t="s">
        <v>29</v>
      </c>
      <c r="B165" s="2975" t="s">
        <v>3173</v>
      </c>
      <c r="C165" s="2976">
        <v>0.126</v>
      </c>
      <c r="D165" s="2976">
        <v>0.126</v>
      </c>
      <c r="E165" s="2976">
        <v>0.11899999999999999</v>
      </c>
      <c r="F165" s="2976">
        <v>0.13</v>
      </c>
      <c r="G165" s="2977">
        <v>0.128</v>
      </c>
    </row>
    <row r="166" spans="1:7">
      <c r="A166" s="2986" t="s">
        <v>29</v>
      </c>
      <c r="B166" s="2975" t="s">
        <v>3012</v>
      </c>
      <c r="C166" s="2976">
        <v>0.129</v>
      </c>
      <c r="D166" s="2976">
        <v>0.129</v>
      </c>
      <c r="E166" s="2976">
        <v>0.123</v>
      </c>
      <c r="F166" s="2976">
        <v>0.128</v>
      </c>
      <c r="G166" s="2977">
        <v>0.13</v>
      </c>
    </row>
    <row r="167" spans="1:7">
      <c r="A167" s="2986" t="s">
        <v>29</v>
      </c>
      <c r="B167" s="2975" t="s">
        <v>3016</v>
      </c>
      <c r="C167" s="2976">
        <v>0.125</v>
      </c>
      <c r="D167" s="2976">
        <v>0.125</v>
      </c>
      <c r="E167" s="2976">
        <v>0.11700000000000001</v>
      </c>
      <c r="F167" s="2976">
        <v>0.13</v>
      </c>
      <c r="G167" s="2977">
        <v>0.126</v>
      </c>
    </row>
    <row r="168" spans="1:7">
      <c r="A168" s="2986" t="s">
        <v>29</v>
      </c>
      <c r="B168" s="2975" t="s">
        <v>3021</v>
      </c>
      <c r="C168" s="2976">
        <v>0.128</v>
      </c>
      <c r="D168" s="2976">
        <v>0.128</v>
      </c>
      <c r="E168" s="2976">
        <v>0.123</v>
      </c>
      <c r="F168" s="2987"/>
      <c r="G168" s="2977">
        <v>0.13</v>
      </c>
    </row>
    <row r="169" spans="1:7">
      <c r="A169" s="2986" t="s">
        <v>29</v>
      </c>
      <c r="B169" s="2975" t="s">
        <v>3174</v>
      </c>
      <c r="C169" s="2992"/>
      <c r="D169" s="2992"/>
      <c r="E169" s="2992"/>
      <c r="F169" s="2976">
        <v>0.05</v>
      </c>
      <c r="G169" s="2988"/>
    </row>
    <row r="170" spans="1:7">
      <c r="A170" s="2986" t="s">
        <v>29</v>
      </c>
      <c r="B170" s="2975" t="s">
        <v>3175</v>
      </c>
      <c r="C170" s="2992"/>
      <c r="D170" s="2992"/>
      <c r="E170" s="2992"/>
      <c r="F170" s="2976">
        <v>0.05</v>
      </c>
      <c r="G170" s="2988"/>
    </row>
    <row r="171" spans="1:7">
      <c r="A171" s="2986" t="s">
        <v>29</v>
      </c>
      <c r="B171" s="2975" t="s">
        <v>3176</v>
      </c>
      <c r="C171" s="2992"/>
      <c r="D171" s="2992"/>
      <c r="E171" s="2992"/>
      <c r="F171" s="2976">
        <v>0.05</v>
      </c>
      <c r="G171" s="2993"/>
    </row>
    <row r="172" spans="1:7">
      <c r="A172" s="2986" t="s">
        <v>29</v>
      </c>
      <c r="B172" s="2975" t="s">
        <v>3177</v>
      </c>
      <c r="C172" s="2992"/>
      <c r="D172" s="2992"/>
      <c r="E172" s="2992"/>
      <c r="F172" s="2976">
        <v>0.05</v>
      </c>
      <c r="G172" s="2993"/>
    </row>
    <row r="173" spans="1:7">
      <c r="A173" s="2986" t="s">
        <v>29</v>
      </c>
      <c r="B173" s="2975" t="s">
        <v>3178</v>
      </c>
      <c r="C173" s="2992"/>
      <c r="D173" s="2992"/>
      <c r="E173" s="2992"/>
      <c r="F173" s="2976">
        <v>0.05</v>
      </c>
      <c r="G173" s="2988"/>
    </row>
    <row r="174" spans="1:7">
      <c r="A174" s="2986" t="s">
        <v>29</v>
      </c>
      <c r="B174" s="2975" t="s">
        <v>3179</v>
      </c>
      <c r="C174" s="2992"/>
      <c r="D174" s="2992"/>
      <c r="E174" s="2992"/>
      <c r="F174" s="2976">
        <v>0.05</v>
      </c>
      <c r="G174" s="2988"/>
    </row>
    <row r="175" spans="1:7">
      <c r="A175" s="2986" t="s">
        <v>29</v>
      </c>
      <c r="B175" s="2975" t="s">
        <v>3180</v>
      </c>
      <c r="C175" s="2992"/>
      <c r="D175" s="2992"/>
      <c r="E175" s="2992"/>
      <c r="F175" s="2976">
        <v>0.05</v>
      </c>
      <c r="G175" s="2988"/>
    </row>
    <row r="176" spans="1:7">
      <c r="A176" s="2986" t="s">
        <v>29</v>
      </c>
      <c r="B176" s="2975" t="s">
        <v>3181</v>
      </c>
      <c r="C176" s="2992"/>
      <c r="D176" s="2992"/>
      <c r="E176" s="2992"/>
      <c r="F176" s="2976">
        <v>0.05</v>
      </c>
      <c r="G176" s="2988"/>
    </row>
    <row r="177" spans="1:7">
      <c r="A177" s="2986" t="s">
        <v>29</v>
      </c>
      <c r="B177" s="2975" t="s">
        <v>3182</v>
      </c>
      <c r="C177" s="2987"/>
      <c r="D177" s="2987"/>
      <c r="E177" s="2987"/>
      <c r="F177" s="2976">
        <v>0.05</v>
      </c>
      <c r="G177" s="2993"/>
    </row>
    <row r="178" spans="1:7">
      <c r="A178" s="2986" t="s">
        <v>29</v>
      </c>
      <c r="B178" s="2975" t="s">
        <v>3183</v>
      </c>
      <c r="C178" s="2987"/>
      <c r="D178" s="2987"/>
      <c r="E178" s="2987"/>
      <c r="F178" s="2976">
        <v>0.05</v>
      </c>
      <c r="G178" s="2993"/>
    </row>
    <row r="179" spans="1:7">
      <c r="A179" s="2986" t="s">
        <v>29</v>
      </c>
      <c r="B179" s="2975" t="s">
        <v>3184</v>
      </c>
      <c r="C179" s="2987"/>
      <c r="D179" s="2987"/>
      <c r="E179" s="2987"/>
      <c r="F179" s="2976">
        <v>0.05</v>
      </c>
      <c r="G179" s="2993"/>
    </row>
    <row r="180" spans="1:7">
      <c r="A180" s="2986" t="s">
        <v>29</v>
      </c>
      <c r="B180" s="2975" t="s">
        <v>3185</v>
      </c>
      <c r="C180" s="2987"/>
      <c r="D180" s="2987"/>
      <c r="E180" s="2987"/>
      <c r="F180" s="2976">
        <v>0.05</v>
      </c>
      <c r="G180" s="2993"/>
    </row>
    <row r="181" spans="1:7">
      <c r="A181" s="2986" t="s">
        <v>29</v>
      </c>
      <c r="B181" s="2975" t="s">
        <v>3186</v>
      </c>
      <c r="C181" s="2987"/>
      <c r="D181" s="2987"/>
      <c r="E181" s="2987"/>
      <c r="F181" s="2976">
        <v>0.05</v>
      </c>
      <c r="G181" s="2993"/>
    </row>
    <row r="182" spans="1:7">
      <c r="A182" s="2986" t="s">
        <v>29</v>
      </c>
      <c r="B182" s="2975" t="s">
        <v>3187</v>
      </c>
      <c r="C182" s="2987"/>
      <c r="D182" s="2987"/>
      <c r="E182" s="2987"/>
      <c r="F182" s="2976">
        <v>0.05</v>
      </c>
      <c r="G182" s="2993"/>
    </row>
    <row r="183" spans="1:7">
      <c r="A183" s="2986" t="s">
        <v>29</v>
      </c>
      <c r="B183" s="2975" t="s">
        <v>3188</v>
      </c>
      <c r="C183" s="2987"/>
      <c r="D183" s="2987"/>
      <c r="E183" s="2987"/>
      <c r="F183" s="2976">
        <v>0.05</v>
      </c>
      <c r="G183" s="2993"/>
    </row>
    <row r="184" spans="1:7">
      <c r="A184" s="2986" t="s">
        <v>29</v>
      </c>
      <c r="B184" s="2975" t="s">
        <v>3189</v>
      </c>
      <c r="C184" s="2987"/>
      <c r="D184" s="2987"/>
      <c r="E184" s="2987"/>
      <c r="F184" s="2976">
        <v>0.05</v>
      </c>
      <c r="G184" s="2993"/>
    </row>
    <row r="185" spans="1:7">
      <c r="A185" s="2986" t="s">
        <v>29</v>
      </c>
      <c r="B185" s="2975" t="s">
        <v>3190</v>
      </c>
      <c r="C185" s="2987"/>
      <c r="D185" s="2987"/>
      <c r="E185" s="2987"/>
      <c r="F185" s="2976">
        <v>0.05</v>
      </c>
      <c r="G185" s="2993"/>
    </row>
    <row r="186" spans="1:7">
      <c r="A186" s="2986" t="s">
        <v>29</v>
      </c>
      <c r="B186" s="2975" t="s">
        <v>3191</v>
      </c>
      <c r="C186" s="2987"/>
      <c r="D186" s="2987"/>
      <c r="E186" s="2987"/>
      <c r="F186" s="2976">
        <v>0.05</v>
      </c>
      <c r="G186" s="2993"/>
    </row>
    <row r="187" spans="1:7">
      <c r="A187" s="2986" t="s">
        <v>29</v>
      </c>
      <c r="B187" s="2975" t="s">
        <v>3192</v>
      </c>
      <c r="C187" s="2987"/>
      <c r="D187" s="2987"/>
      <c r="E187" s="2987"/>
      <c r="F187" s="2976">
        <v>0.05</v>
      </c>
      <c r="G187" s="2993"/>
    </row>
    <row r="188" spans="1:7">
      <c r="A188" s="2986" t="s">
        <v>29</v>
      </c>
      <c r="B188" s="2975" t="s">
        <v>3193</v>
      </c>
      <c r="C188" s="2987"/>
      <c r="D188" s="2987"/>
      <c r="E188" s="2987"/>
      <c r="F188" s="2976">
        <v>0.05</v>
      </c>
      <c r="G188" s="2993"/>
    </row>
    <row r="189" spans="1:7" ht="14.25" thickBot="1">
      <c r="A189" s="2989" t="s">
        <v>29</v>
      </c>
      <c r="B189" s="2979" t="s">
        <v>3194</v>
      </c>
      <c r="C189" s="2981"/>
      <c r="D189" s="2981"/>
      <c r="E189" s="2981"/>
      <c r="F189" s="2980">
        <v>0.05</v>
      </c>
      <c r="G189" s="2994"/>
    </row>
    <row r="190" spans="1:7">
      <c r="A190" s="2985" t="s">
        <v>304</v>
      </c>
      <c r="B190" s="2971" t="s">
        <v>2850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2886</v>
      </c>
      <c r="C199" s="2976">
        <v>0.13</v>
      </c>
      <c r="D199" s="2976">
        <v>0.13</v>
      </c>
      <c r="E199" s="2976">
        <v>0.13</v>
      </c>
      <c r="F199" s="2976">
        <v>0.13</v>
      </c>
      <c r="G199" s="2977">
        <v>0.13</v>
      </c>
    </row>
    <row r="200" spans="1:7">
      <c r="A200" s="2986" t="s">
        <v>304</v>
      </c>
      <c r="B200" s="2975" t="s">
        <v>2889</v>
      </c>
      <c r="C200" s="2992"/>
      <c r="D200" s="2992"/>
      <c r="E200" s="2992"/>
      <c r="F200" s="2976">
        <v>0.13</v>
      </c>
      <c r="G200" s="2988"/>
    </row>
    <row r="201" spans="1:7">
      <c r="A201" s="2986" t="s">
        <v>304</v>
      </c>
      <c r="B201" s="2975" t="s">
        <v>2894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2897</v>
      </c>
      <c r="C203" s="2976">
        <v>0.129</v>
      </c>
      <c r="D203" s="2976">
        <v>0.129</v>
      </c>
      <c r="E203" s="2976">
        <v>0.13</v>
      </c>
      <c r="F203" s="2976">
        <v>0.13</v>
      </c>
      <c r="G203" s="2977">
        <v>0.13</v>
      </c>
    </row>
    <row r="204" spans="1:7">
      <c r="A204" s="2986" t="s">
        <v>304</v>
      </c>
      <c r="B204" s="2975" t="s">
        <v>2900</v>
      </c>
      <c r="C204" s="2976">
        <v>0.129</v>
      </c>
      <c r="D204" s="2976">
        <v>0.129</v>
      </c>
      <c r="E204" s="2976">
        <v>0.123</v>
      </c>
      <c r="F204" s="2976">
        <v>0.13</v>
      </c>
      <c r="G204" s="2977">
        <v>0.13</v>
      </c>
    </row>
    <row r="205" spans="1:7">
      <c r="A205" s="2986" t="s">
        <v>304</v>
      </c>
      <c r="B205" s="2975" t="s">
        <v>2902</v>
      </c>
      <c r="C205" s="2976">
        <v>0.13</v>
      </c>
      <c r="D205" s="2976">
        <v>0.13</v>
      </c>
      <c r="E205" s="2976">
        <v>0.13</v>
      </c>
      <c r="F205" s="2976">
        <v>0.13</v>
      </c>
      <c r="G205" s="2977">
        <v>0.13</v>
      </c>
    </row>
    <row r="206" spans="1:7">
      <c r="A206" s="2986" t="s">
        <v>304</v>
      </c>
      <c r="B206" s="2975" t="s">
        <v>2905</v>
      </c>
      <c r="C206" s="2976">
        <v>0.13</v>
      </c>
      <c r="D206" s="2976">
        <v>0.13</v>
      </c>
      <c r="E206" s="2976">
        <v>0.13</v>
      </c>
      <c r="F206" s="2976">
        <v>0.128</v>
      </c>
      <c r="G206" s="2977">
        <v>0.13</v>
      </c>
    </row>
    <row r="207" spans="1:7">
      <c r="A207" s="2986" t="s">
        <v>304</v>
      </c>
      <c r="B207" s="2975" t="s">
        <v>2907</v>
      </c>
      <c r="C207" s="2976">
        <v>0.13</v>
      </c>
      <c r="D207" s="2976">
        <v>0.13</v>
      </c>
      <c r="E207" s="2976">
        <v>0.13</v>
      </c>
      <c r="F207" s="2976">
        <v>0.13</v>
      </c>
      <c r="G207" s="2977">
        <v>0.13</v>
      </c>
    </row>
    <row r="208" spans="1:7">
      <c r="A208" s="2986" t="s">
        <v>304</v>
      </c>
      <c r="B208" s="2975" t="s">
        <v>2910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2917</v>
      </c>
      <c r="C210" s="2976">
        <v>0.121</v>
      </c>
      <c r="D210" s="2976">
        <v>0.121</v>
      </c>
      <c r="E210" s="2976">
        <v>0.125</v>
      </c>
      <c r="F210" s="2976">
        <v>0.13</v>
      </c>
      <c r="G210" s="2977">
        <v>0.123</v>
      </c>
    </row>
    <row r="211" spans="1:7">
      <c r="A211" s="2986" t="s">
        <v>304</v>
      </c>
      <c r="B211" s="2975" t="s">
        <v>2920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2932</v>
      </c>
      <c r="C214" s="2976">
        <v>0.128</v>
      </c>
      <c r="D214" s="2976">
        <v>0.128</v>
      </c>
      <c r="E214" s="2976">
        <v>0.13</v>
      </c>
      <c r="F214" s="2976">
        <v>0.13</v>
      </c>
      <c r="G214" s="2977">
        <v>0.13</v>
      </c>
    </row>
    <row r="215" spans="1:7">
      <c r="A215" s="2986" t="s">
        <v>304</v>
      </c>
      <c r="B215" s="2975" t="s">
        <v>2936</v>
      </c>
      <c r="C215" s="2976">
        <v>0.13</v>
      </c>
      <c r="D215" s="2976">
        <v>0.13</v>
      </c>
      <c r="E215" s="2976">
        <v>0.13</v>
      </c>
      <c r="F215" s="2976">
        <v>0.129</v>
      </c>
      <c r="G215" s="2977">
        <v>0.13</v>
      </c>
    </row>
    <row r="216" spans="1:7">
      <c r="A216" s="2986" t="s">
        <v>304</v>
      </c>
      <c r="B216" s="2975" t="s">
        <v>2943</v>
      </c>
      <c r="C216" s="2976">
        <v>0.13</v>
      </c>
      <c r="D216" s="2976">
        <v>0.13</v>
      </c>
      <c r="E216" s="2976">
        <v>0.13</v>
      </c>
      <c r="F216" s="2976">
        <v>0.13</v>
      </c>
      <c r="G216" s="2977">
        <v>0.13</v>
      </c>
    </row>
    <row r="217" spans="1:7">
      <c r="A217" s="2986" t="s">
        <v>304</v>
      </c>
      <c r="B217" s="2975" t="s">
        <v>2950</v>
      </c>
      <c r="C217" s="2976">
        <v>0.129</v>
      </c>
      <c r="D217" s="2976">
        <v>0.129</v>
      </c>
      <c r="E217" s="2976">
        <v>0.13</v>
      </c>
      <c r="F217" s="2976">
        <v>0.13</v>
      </c>
      <c r="G217" s="2977">
        <v>0.13</v>
      </c>
    </row>
    <row r="218" spans="1:7">
      <c r="A218" s="2986" t="s">
        <v>304</v>
      </c>
      <c r="B218" s="2975" t="s">
        <v>2956</v>
      </c>
      <c r="C218" s="2987"/>
      <c r="D218" s="2987"/>
      <c r="E218" s="2987"/>
      <c r="F218" s="2976">
        <v>0.05</v>
      </c>
      <c r="G218" s="2993"/>
    </row>
    <row r="219" spans="1:7">
      <c r="A219" s="2986" t="s">
        <v>304</v>
      </c>
      <c r="B219" s="2975" t="s">
        <v>2963</v>
      </c>
      <c r="C219" s="2987"/>
      <c r="D219" s="2987"/>
      <c r="E219" s="2987"/>
      <c r="F219" s="2976">
        <v>0.05</v>
      </c>
      <c r="G219" s="2993"/>
    </row>
    <row r="220" spans="1:7">
      <c r="A220" s="2986" t="s">
        <v>304</v>
      </c>
      <c r="B220" s="2975" t="s">
        <v>2969</v>
      </c>
      <c r="C220" s="2987"/>
      <c r="D220" s="2987"/>
      <c r="E220" s="2987"/>
      <c r="F220" s="2976">
        <v>0.05</v>
      </c>
      <c r="G220" s="2993"/>
    </row>
    <row r="221" spans="1:7">
      <c r="A221" s="2986" t="s">
        <v>304</v>
      </c>
      <c r="B221" s="2975" t="s">
        <v>2974</v>
      </c>
      <c r="C221" s="2987"/>
      <c r="D221" s="2987"/>
      <c r="E221" s="2987"/>
      <c r="F221" s="2976">
        <v>0.05</v>
      </c>
      <c r="G221" s="2993"/>
    </row>
    <row r="222" spans="1:7">
      <c r="A222" s="2986" t="s">
        <v>304</v>
      </c>
      <c r="B222" s="2975" t="s">
        <v>2978</v>
      </c>
      <c r="C222" s="2987"/>
      <c r="D222" s="2987"/>
      <c r="E222" s="2987"/>
      <c r="F222" s="2976">
        <v>0.05</v>
      </c>
      <c r="G222" s="2993"/>
    </row>
    <row r="223" spans="1:7">
      <c r="A223" s="2986" t="s">
        <v>304</v>
      </c>
      <c r="B223" s="2975" t="s">
        <v>2983</v>
      </c>
      <c r="C223" s="2987"/>
      <c r="D223" s="2987"/>
      <c r="E223" s="2987"/>
      <c r="F223" s="2976">
        <v>0.05</v>
      </c>
      <c r="G223" s="2993"/>
    </row>
    <row r="224" spans="1:7">
      <c r="A224" s="2986" t="s">
        <v>304</v>
      </c>
      <c r="B224" s="2975" t="s">
        <v>2988</v>
      </c>
      <c r="C224" s="2987"/>
      <c r="D224" s="2987"/>
      <c r="E224" s="2987"/>
      <c r="F224" s="2976">
        <v>0.05</v>
      </c>
      <c r="G224" s="2993"/>
    </row>
    <row r="225" spans="1:7">
      <c r="A225" s="2986" t="s">
        <v>304</v>
      </c>
      <c r="B225" s="2975" t="s">
        <v>2993</v>
      </c>
      <c r="C225" s="2987"/>
      <c r="D225" s="2987"/>
      <c r="E225" s="2987"/>
      <c r="F225" s="2976">
        <v>0.05</v>
      </c>
      <c r="G225" s="2993"/>
    </row>
    <row r="226" spans="1:7">
      <c r="A226" s="2986" t="s">
        <v>304</v>
      </c>
      <c r="B226" s="2975" t="s">
        <v>3195</v>
      </c>
      <c r="C226" s="2987"/>
      <c r="D226" s="2987"/>
      <c r="E226" s="2987"/>
      <c r="F226" s="2976">
        <v>0.05</v>
      </c>
      <c r="G226" s="2993"/>
    </row>
    <row r="227" spans="1:7">
      <c r="A227" s="2986" t="s">
        <v>304</v>
      </c>
      <c r="B227" s="2975" t="s">
        <v>3196</v>
      </c>
      <c r="C227" s="2987"/>
      <c r="D227" s="2987"/>
      <c r="E227" s="2987"/>
      <c r="F227" s="2976">
        <v>0.05</v>
      </c>
      <c r="G227" s="2993"/>
    </row>
    <row r="228" spans="1:7">
      <c r="A228" s="2986" t="s">
        <v>304</v>
      </c>
      <c r="B228" s="2975" t="s">
        <v>3197</v>
      </c>
      <c r="C228" s="2987"/>
      <c r="D228" s="2987"/>
      <c r="E228" s="2987"/>
      <c r="F228" s="2976">
        <v>0.05</v>
      </c>
      <c r="G228" s="2993"/>
    </row>
    <row r="229" spans="1:7">
      <c r="A229" s="2986" t="s">
        <v>304</v>
      </c>
      <c r="B229" s="2975" t="s">
        <v>3198</v>
      </c>
      <c r="C229" s="2987"/>
      <c r="D229" s="2987"/>
      <c r="E229" s="2987"/>
      <c r="F229" s="2976">
        <v>0.05</v>
      </c>
      <c r="G229" s="2993"/>
    </row>
    <row r="230" spans="1:7">
      <c r="A230" s="2986" t="s">
        <v>304</v>
      </c>
      <c r="B230" s="2975" t="s">
        <v>3199</v>
      </c>
      <c r="C230" s="2987"/>
      <c r="D230" s="2987"/>
      <c r="E230" s="2987"/>
      <c r="F230" s="2976">
        <v>0.05</v>
      </c>
      <c r="G230" s="2993"/>
    </row>
    <row r="231" spans="1:7">
      <c r="A231" s="2986" t="s">
        <v>304</v>
      </c>
      <c r="B231" s="2975" t="s">
        <v>3200</v>
      </c>
      <c r="C231" s="2987"/>
      <c r="D231" s="2987"/>
      <c r="E231" s="2987"/>
      <c r="F231" s="2976">
        <v>0.05</v>
      </c>
      <c r="G231" s="2993"/>
    </row>
    <row r="232" spans="1:7">
      <c r="A232" s="2986" t="s">
        <v>304</v>
      </c>
      <c r="B232" s="2975" t="s">
        <v>3201</v>
      </c>
      <c r="C232" s="2987"/>
      <c r="D232" s="2987"/>
      <c r="E232" s="2987"/>
      <c r="F232" s="2976">
        <v>0.05</v>
      </c>
      <c r="G232" s="2993"/>
    </row>
    <row r="233" spans="1:7" ht="14.25" thickBot="1">
      <c r="A233" s="2989" t="s">
        <v>304</v>
      </c>
      <c r="B233" s="2979" t="s">
        <v>3202</v>
      </c>
      <c r="C233" s="2981"/>
      <c r="D233" s="2981"/>
      <c r="E233" s="2981"/>
      <c r="F233" s="2980">
        <v>0.05</v>
      </c>
      <c r="G233" s="2994"/>
    </row>
    <row r="234" spans="1:7">
      <c r="A234" s="2985" t="s">
        <v>305</v>
      </c>
      <c r="B234" s="2971" t="s">
        <v>2851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2871</v>
      </c>
      <c r="C238" s="2976">
        <v>0.14899999999999999</v>
      </c>
      <c r="D238" s="2976">
        <v>0.14899999999999999</v>
      </c>
      <c r="E238" s="2976">
        <v>0.15</v>
      </c>
      <c r="F238" s="2976">
        <v>0.15</v>
      </c>
      <c r="G238" s="2977">
        <v>0.15</v>
      </c>
    </row>
    <row r="239" spans="1:7">
      <c r="A239" s="2986" t="s">
        <v>305</v>
      </c>
      <c r="B239" s="2975" t="s">
        <v>2875</v>
      </c>
      <c r="C239" s="2976">
        <v>0.15</v>
      </c>
      <c r="D239" s="2976">
        <v>0.15</v>
      </c>
      <c r="E239" s="2976">
        <v>0.15</v>
      </c>
      <c r="F239" s="2976">
        <v>0.15</v>
      </c>
      <c r="G239" s="2977">
        <v>0.15</v>
      </c>
    </row>
    <row r="240" spans="1:7">
      <c r="A240" s="2986" t="s">
        <v>305</v>
      </c>
      <c r="B240" s="2975" t="s">
        <v>2880</v>
      </c>
      <c r="C240" s="2976">
        <v>0.15</v>
      </c>
      <c r="D240" s="2976">
        <v>0.15</v>
      </c>
      <c r="E240" s="2976">
        <v>0.15</v>
      </c>
      <c r="F240" s="2976">
        <v>0.15</v>
      </c>
      <c r="G240" s="2977">
        <v>0.15</v>
      </c>
    </row>
    <row r="241" spans="1:7">
      <c r="A241" s="2986" t="s">
        <v>305</v>
      </c>
      <c r="B241" s="2975" t="s">
        <v>2884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2933</v>
      </c>
      <c r="C258" s="2976">
        <v>0.14299999999999999</v>
      </c>
      <c r="D258" s="2976">
        <v>0.14299999999999999</v>
      </c>
      <c r="E258" s="2976">
        <v>0.15</v>
      </c>
      <c r="F258" s="2976">
        <v>0.14799999999999999</v>
      </c>
      <c r="G258" s="2977">
        <v>0.14599999999999999</v>
      </c>
    </row>
    <row r="259" spans="1:7">
      <c r="A259" s="2986" t="s">
        <v>305</v>
      </c>
      <c r="B259" s="2975" t="s">
        <v>2937</v>
      </c>
      <c r="C259" s="2976">
        <v>0.14399999999999999</v>
      </c>
      <c r="D259" s="2976">
        <v>0.14399999999999999</v>
      </c>
      <c r="E259" s="2976">
        <v>0.14899999999999999</v>
      </c>
      <c r="F259" s="2976">
        <v>0.14699999999999999</v>
      </c>
      <c r="G259" s="2977">
        <v>0.14599999999999999</v>
      </c>
    </row>
    <row r="260" spans="1:7">
      <c r="A260" s="2986" t="s">
        <v>305</v>
      </c>
      <c r="B260" s="2975" t="s">
        <v>2944</v>
      </c>
      <c r="C260" s="2976">
        <v>0.109</v>
      </c>
      <c r="D260" s="2976">
        <v>0.111</v>
      </c>
      <c r="E260" s="2976">
        <v>0.13100000000000001</v>
      </c>
      <c r="F260" s="2976">
        <v>0.126</v>
      </c>
      <c r="G260" s="2977">
        <v>0.11899999999999999</v>
      </c>
    </row>
    <row r="261" spans="1:7">
      <c r="A261" s="2986" t="s">
        <v>305</v>
      </c>
      <c r="B261" s="2975" t="s">
        <v>2951</v>
      </c>
      <c r="C261" s="2976">
        <v>0.1</v>
      </c>
      <c r="D261" s="2976">
        <v>0.1</v>
      </c>
      <c r="E261" s="2976">
        <v>0.11799999999999999</v>
      </c>
      <c r="F261" s="2976">
        <v>0.108</v>
      </c>
      <c r="G261" s="2977">
        <v>0.107</v>
      </c>
    </row>
    <row r="262" spans="1:7">
      <c r="A262" s="2986" t="s">
        <v>305</v>
      </c>
      <c r="B262" s="2975" t="s">
        <v>2957</v>
      </c>
      <c r="C262" s="2976">
        <v>0.1</v>
      </c>
      <c r="D262" s="2976">
        <v>0.1</v>
      </c>
      <c r="E262" s="2976">
        <v>0.1</v>
      </c>
      <c r="F262" s="2976">
        <v>0.14099999999999999</v>
      </c>
      <c r="G262" s="2977">
        <v>0.1</v>
      </c>
    </row>
    <row r="263" spans="1:7">
      <c r="A263" s="2986" t="s">
        <v>305</v>
      </c>
      <c r="B263" s="2975" t="s">
        <v>2964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2975</v>
      </c>
      <c r="C265" s="2987"/>
      <c r="D265" s="2987"/>
      <c r="E265" s="2987"/>
      <c r="F265" s="2976">
        <v>0.05</v>
      </c>
      <c r="G265" s="2993"/>
    </row>
    <row r="266" spans="1:7">
      <c r="A266" s="2986" t="s">
        <v>305</v>
      </c>
      <c r="B266" s="2975" t="s">
        <v>2979</v>
      </c>
      <c r="C266" s="2987"/>
      <c r="D266" s="2987"/>
      <c r="E266" s="2987"/>
      <c r="F266" s="2976">
        <v>0.05</v>
      </c>
      <c r="G266" s="2993"/>
    </row>
    <row r="267" spans="1:7">
      <c r="A267" s="2986" t="s">
        <v>305</v>
      </c>
      <c r="B267" s="2975" t="s">
        <v>2984</v>
      </c>
      <c r="C267" s="2987"/>
      <c r="D267" s="2987"/>
      <c r="E267" s="2987"/>
      <c r="F267" s="2976">
        <v>0.05</v>
      </c>
      <c r="G267" s="2993"/>
    </row>
    <row r="268" spans="1:7">
      <c r="A268" s="2986" t="s">
        <v>305</v>
      </c>
      <c r="B268" s="2975" t="s">
        <v>2989</v>
      </c>
      <c r="C268" s="2987"/>
      <c r="D268" s="2987"/>
      <c r="E268" s="2987"/>
      <c r="F268" s="2976">
        <v>0.05</v>
      </c>
      <c r="G268" s="2993"/>
    </row>
    <row r="269" spans="1:7">
      <c r="A269" s="2986" t="s">
        <v>305</v>
      </c>
      <c r="B269" s="2975" t="s">
        <v>2994</v>
      </c>
      <c r="C269" s="2987"/>
      <c r="D269" s="2987"/>
      <c r="E269" s="2987"/>
      <c r="F269" s="2976">
        <v>0.05</v>
      </c>
      <c r="G269" s="2993"/>
    </row>
    <row r="270" spans="1:7">
      <c r="A270" s="2986" t="s">
        <v>305</v>
      </c>
      <c r="B270" s="2975" t="s">
        <v>2999</v>
      </c>
      <c r="C270" s="2987"/>
      <c r="D270" s="2987"/>
      <c r="E270" s="2987"/>
      <c r="F270" s="2976">
        <v>0.05</v>
      </c>
      <c r="G270" s="2993"/>
    </row>
    <row r="271" spans="1:7">
      <c r="A271" s="2986" t="s">
        <v>305</v>
      </c>
      <c r="B271" s="2975" t="s">
        <v>3203</v>
      </c>
      <c r="C271" s="2987"/>
      <c r="D271" s="2987"/>
      <c r="E271" s="2987"/>
      <c r="F271" s="2976">
        <v>0.05</v>
      </c>
      <c r="G271" s="2993"/>
    </row>
    <row r="272" spans="1:7">
      <c r="A272" s="2986" t="s">
        <v>305</v>
      </c>
      <c r="B272" s="2975" t="s">
        <v>3204</v>
      </c>
      <c r="C272" s="2987"/>
      <c r="D272" s="2987"/>
      <c r="E272" s="2987"/>
      <c r="F272" s="2976">
        <v>0.05</v>
      </c>
      <c r="G272" s="2993"/>
    </row>
    <row r="273" spans="1:7">
      <c r="A273" s="2986" t="s">
        <v>305</v>
      </c>
      <c r="B273" s="2975" t="s">
        <v>3205</v>
      </c>
      <c r="C273" s="2987"/>
      <c r="D273" s="2987"/>
      <c r="E273" s="2987"/>
      <c r="F273" s="2976">
        <v>0.05</v>
      </c>
      <c r="G273" s="2993"/>
    </row>
    <row r="274" spans="1:7">
      <c r="A274" s="2986" t="s">
        <v>305</v>
      </c>
      <c r="B274" s="2975" t="s">
        <v>3206</v>
      </c>
      <c r="C274" s="2987"/>
      <c r="D274" s="2987"/>
      <c r="E274" s="2987"/>
      <c r="F274" s="2976">
        <v>0.05</v>
      </c>
      <c r="G274" s="2993"/>
    </row>
    <row r="275" spans="1:7">
      <c r="A275" s="2986" t="s">
        <v>305</v>
      </c>
      <c r="B275" s="2975" t="s">
        <v>3207</v>
      </c>
      <c r="C275" s="2987"/>
      <c r="D275" s="2987"/>
      <c r="E275" s="2987"/>
      <c r="F275" s="2976">
        <v>0.05</v>
      </c>
      <c r="G275" s="2993"/>
    </row>
    <row r="276" spans="1:7" ht="14.25" thickBot="1">
      <c r="A276" s="2989" t="s">
        <v>305</v>
      </c>
      <c r="B276" s="2979" t="s">
        <v>3208</v>
      </c>
      <c r="C276" s="2981"/>
      <c r="D276" s="2981"/>
      <c r="E276" s="2981"/>
      <c r="F276" s="2980">
        <v>0.05</v>
      </c>
      <c r="G276" s="2994"/>
    </row>
    <row r="277" spans="1:7">
      <c r="A277" s="2985" t="s">
        <v>306</v>
      </c>
      <c r="B277" s="2971" t="s">
        <v>2852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2864</v>
      </c>
      <c r="C279" s="2976">
        <v>0.15</v>
      </c>
      <c r="D279" s="2976">
        <v>0.15</v>
      </c>
      <c r="E279" s="2976">
        <v>0.15</v>
      </c>
      <c r="F279" s="2976">
        <v>0.15</v>
      </c>
      <c r="G279" s="2977">
        <v>0.15</v>
      </c>
    </row>
    <row r="280" spans="1:7">
      <c r="A280" s="2986" t="s">
        <v>306</v>
      </c>
      <c r="B280" s="2975" t="s">
        <v>2868</v>
      </c>
      <c r="C280" s="2976">
        <v>0.15</v>
      </c>
      <c r="D280" s="2976">
        <v>0.15</v>
      </c>
      <c r="E280" s="2976">
        <v>0.15</v>
      </c>
      <c r="F280" s="2976">
        <v>0.15</v>
      </c>
      <c r="G280" s="2977">
        <v>0.15</v>
      </c>
    </row>
    <row r="281" spans="1:7">
      <c r="A281" s="2986" t="s">
        <v>306</v>
      </c>
      <c r="B281" s="2975" t="s">
        <v>2872</v>
      </c>
      <c r="C281" s="2976">
        <v>0.15</v>
      </c>
      <c r="D281" s="2976">
        <v>0.15</v>
      </c>
      <c r="E281" s="2976">
        <v>0.15</v>
      </c>
      <c r="F281" s="2976">
        <v>0.15</v>
      </c>
      <c r="G281" s="2977">
        <v>0.15</v>
      </c>
    </row>
    <row r="282" spans="1:7">
      <c r="A282" s="2986" t="s">
        <v>306</v>
      </c>
      <c r="B282" s="2975" t="s">
        <v>2876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2906</v>
      </c>
      <c r="C293" s="2976">
        <v>0.15</v>
      </c>
      <c r="D293" s="2976">
        <v>0.15</v>
      </c>
      <c r="E293" s="2976">
        <v>0.15</v>
      </c>
      <c r="F293" s="2976">
        <v>0.14499999999999999</v>
      </c>
      <c r="G293" s="2977">
        <v>0.15</v>
      </c>
    </row>
    <row r="294" spans="1:7">
      <c r="A294" s="2986" t="s">
        <v>306</v>
      </c>
      <c r="B294" s="2975" t="s">
        <v>2908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2938</v>
      </c>
      <c r="C302" s="2976">
        <v>0.15</v>
      </c>
      <c r="D302" s="2976">
        <v>0.15</v>
      </c>
      <c r="E302" s="2976">
        <v>0.15</v>
      </c>
      <c r="F302" s="2976">
        <v>0.14699999999999999</v>
      </c>
      <c r="G302" s="2977">
        <v>0.15</v>
      </c>
    </row>
    <row r="303" spans="1:7">
      <c r="A303" s="2986" t="s">
        <v>306</v>
      </c>
      <c r="B303" s="2975" t="s">
        <v>2945</v>
      </c>
      <c r="C303" s="2976">
        <v>0.15</v>
      </c>
      <c r="D303" s="2976">
        <v>0.15</v>
      </c>
      <c r="E303" s="2976">
        <v>0.15</v>
      </c>
      <c r="F303" s="2976">
        <v>0.14199999999999999</v>
      </c>
      <c r="G303" s="2977">
        <v>0.15</v>
      </c>
    </row>
    <row r="304" spans="1:7">
      <c r="A304" s="2986" t="s">
        <v>306</v>
      </c>
      <c r="B304" s="2975" t="s">
        <v>2952</v>
      </c>
      <c r="C304" s="2976">
        <v>0.15</v>
      </c>
      <c r="D304" s="2976">
        <v>0.15</v>
      </c>
      <c r="E304" s="2976">
        <v>0.15</v>
      </c>
      <c r="F304" s="2976">
        <v>0.14499999999999999</v>
      </c>
      <c r="G304" s="2977">
        <v>0.15</v>
      </c>
    </row>
    <row r="305" spans="1:7">
      <c r="A305" s="2986" t="s">
        <v>306</v>
      </c>
      <c r="B305" s="2975" t="s">
        <v>2958</v>
      </c>
      <c r="C305" s="2976">
        <v>0.15</v>
      </c>
      <c r="D305" s="2976">
        <v>0.15</v>
      </c>
      <c r="E305" s="2976">
        <v>0.15</v>
      </c>
      <c r="F305" s="2976">
        <v>0.111</v>
      </c>
      <c r="G305" s="2977">
        <v>0.15</v>
      </c>
    </row>
    <row r="306" spans="1:7">
      <c r="A306" s="2986" t="s">
        <v>306</v>
      </c>
      <c r="B306" s="2975" t="s">
        <v>2965</v>
      </c>
      <c r="C306" s="2976">
        <v>0.15</v>
      </c>
      <c r="D306" s="2976">
        <v>0.15</v>
      </c>
      <c r="E306" s="2976">
        <v>0.15</v>
      </c>
      <c r="F306" s="2976">
        <v>0.126</v>
      </c>
      <c r="G306" s="2977">
        <v>0.15</v>
      </c>
    </row>
    <row r="307" spans="1:7">
      <c r="A307" s="2986" t="s">
        <v>306</v>
      </c>
      <c r="B307" s="2975" t="s">
        <v>2970</v>
      </c>
      <c r="C307" s="2976">
        <v>0.15</v>
      </c>
      <c r="D307" s="2976">
        <v>0.15</v>
      </c>
      <c r="E307" s="2976">
        <v>0.15</v>
      </c>
      <c r="F307" s="2976">
        <v>0.12</v>
      </c>
      <c r="G307" s="2977">
        <v>0.15</v>
      </c>
    </row>
    <row r="308" spans="1:7">
      <c r="A308" s="2986" t="s">
        <v>306</v>
      </c>
      <c r="B308" s="2975" t="s">
        <v>2976</v>
      </c>
      <c r="C308" s="2976">
        <v>0.15</v>
      </c>
      <c r="D308" s="2976">
        <v>0.15</v>
      </c>
      <c r="E308" s="2976">
        <v>0.15</v>
      </c>
      <c r="F308" s="2976">
        <v>0.13</v>
      </c>
      <c r="G308" s="2977">
        <v>0.15</v>
      </c>
    </row>
    <row r="309" spans="1:7">
      <c r="A309" s="2986" t="s">
        <v>306</v>
      </c>
      <c r="B309" s="2975" t="s">
        <v>2980</v>
      </c>
      <c r="C309" s="2976">
        <v>0.15</v>
      </c>
      <c r="D309" s="2976">
        <v>0.15</v>
      </c>
      <c r="E309" s="2976">
        <v>0.15</v>
      </c>
      <c r="F309" s="2976">
        <v>0.14099999999999999</v>
      </c>
      <c r="G309" s="2977">
        <v>0.15</v>
      </c>
    </row>
    <row r="310" spans="1:7">
      <c r="A310" s="2986" t="s">
        <v>306</v>
      </c>
      <c r="B310" s="2975" t="s">
        <v>2985</v>
      </c>
      <c r="C310" s="2976">
        <v>0.15</v>
      </c>
      <c r="D310" s="2976">
        <v>0.15</v>
      </c>
      <c r="E310" s="2976">
        <v>0.15</v>
      </c>
      <c r="F310" s="2976">
        <v>0.15</v>
      </c>
      <c r="G310" s="2977">
        <v>0.15</v>
      </c>
    </row>
    <row r="311" spans="1:7">
      <c r="A311" s="2986" t="s">
        <v>306</v>
      </c>
      <c r="B311" s="2975" t="s">
        <v>2990</v>
      </c>
      <c r="C311" s="2976">
        <v>0.13200000000000001</v>
      </c>
      <c r="D311" s="2976">
        <v>0.13300000000000001</v>
      </c>
      <c r="E311" s="2976">
        <v>0.14499999999999999</v>
      </c>
      <c r="F311" s="2976">
        <v>0.14199999999999999</v>
      </c>
      <c r="G311" s="2977">
        <v>0.14000000000000001</v>
      </c>
    </row>
    <row r="312" spans="1:7">
      <c r="A312" s="2986" t="s">
        <v>306</v>
      </c>
      <c r="B312" s="2975" t="s">
        <v>2995</v>
      </c>
      <c r="C312" s="2976">
        <v>0.13800000000000001</v>
      </c>
      <c r="D312" s="2976">
        <v>0.14000000000000001</v>
      </c>
      <c r="E312" s="2976">
        <v>0.14599999999999999</v>
      </c>
      <c r="F312" s="2976">
        <v>0.14899999999999999</v>
      </c>
      <c r="G312" s="2977">
        <v>0.14199999999999999</v>
      </c>
    </row>
    <row r="313" spans="1:7">
      <c r="A313" s="2986" t="s">
        <v>306</v>
      </c>
      <c r="B313" s="2975" t="s">
        <v>3000</v>
      </c>
      <c r="C313" s="2976">
        <v>0.125</v>
      </c>
      <c r="D313" s="2976">
        <v>0.127</v>
      </c>
      <c r="E313" s="2976">
        <v>0.14399999999999999</v>
      </c>
      <c r="F313" s="2976">
        <v>0.115</v>
      </c>
      <c r="G313" s="2977">
        <v>0.13600000000000001</v>
      </c>
    </row>
    <row r="314" spans="1:7">
      <c r="A314" s="2986" t="s">
        <v>306</v>
      </c>
      <c r="B314" s="2975" t="s">
        <v>3209</v>
      </c>
      <c r="C314" s="2992"/>
      <c r="D314" s="2992"/>
      <c r="E314" s="2992"/>
      <c r="F314" s="2976">
        <v>0.05</v>
      </c>
      <c r="G314" s="2993"/>
    </row>
    <row r="315" spans="1:7">
      <c r="A315" s="2986" t="s">
        <v>306</v>
      </c>
      <c r="B315" s="2975" t="s">
        <v>3210</v>
      </c>
      <c r="C315" s="2992"/>
      <c r="D315" s="2992"/>
      <c r="E315" s="2992"/>
      <c r="F315" s="2976">
        <v>0.05</v>
      </c>
      <c r="G315" s="2993"/>
    </row>
    <row r="316" spans="1:7">
      <c r="A316" s="2986" t="s">
        <v>306</v>
      </c>
      <c r="B316" s="2975" t="s">
        <v>3211</v>
      </c>
      <c r="C316" s="2987"/>
      <c r="D316" s="2987"/>
      <c r="E316" s="2987"/>
      <c r="F316" s="2976">
        <v>0.05</v>
      </c>
      <c r="G316" s="2993"/>
    </row>
    <row r="317" spans="1:7">
      <c r="A317" s="2986" t="s">
        <v>306</v>
      </c>
      <c r="B317" s="2975" t="s">
        <v>3212</v>
      </c>
      <c r="C317" s="2987"/>
      <c r="D317" s="2987"/>
      <c r="E317" s="2987"/>
      <c r="F317" s="2976">
        <v>0.05</v>
      </c>
      <c r="G317" s="2993"/>
    </row>
    <row r="318" spans="1:7">
      <c r="A318" s="2986" t="s">
        <v>306</v>
      </c>
      <c r="B318" s="2975" t="s">
        <v>3213</v>
      </c>
      <c r="C318" s="2987"/>
      <c r="D318" s="2987"/>
      <c r="E318" s="2987"/>
      <c r="F318" s="2976">
        <v>0.05</v>
      </c>
      <c r="G318" s="2993"/>
    </row>
    <row r="319" spans="1:7">
      <c r="A319" s="2986" t="s">
        <v>306</v>
      </c>
      <c r="B319" s="2975" t="s">
        <v>3214</v>
      </c>
      <c r="C319" s="2987"/>
      <c r="D319" s="2987"/>
      <c r="E319" s="2987"/>
      <c r="F319" s="2976">
        <v>0.05</v>
      </c>
      <c r="G319" s="2993"/>
    </row>
    <row r="320" spans="1:7">
      <c r="A320" s="2986" t="s">
        <v>306</v>
      </c>
      <c r="B320" s="2975" t="s">
        <v>3215</v>
      </c>
      <c r="C320" s="2987"/>
      <c r="D320" s="2987"/>
      <c r="E320" s="2987"/>
      <c r="F320" s="2976">
        <v>0.05</v>
      </c>
      <c r="G320" s="2993"/>
    </row>
    <row r="321" spans="1:7">
      <c r="A321" s="2986" t="s">
        <v>306</v>
      </c>
      <c r="B321" s="2975" t="s">
        <v>3216</v>
      </c>
      <c r="C321" s="2987"/>
      <c r="D321" s="2987"/>
      <c r="E321" s="2987"/>
      <c r="F321" s="2976">
        <v>0.05</v>
      </c>
      <c r="G321" s="2993"/>
    </row>
    <row r="322" spans="1:7">
      <c r="A322" s="2986" t="s">
        <v>306</v>
      </c>
      <c r="B322" s="2975" t="s">
        <v>3217</v>
      </c>
      <c r="C322" s="2987"/>
      <c r="D322" s="2987"/>
      <c r="E322" s="2987"/>
      <c r="F322" s="2976">
        <v>0.05</v>
      </c>
      <c r="G322" s="2993"/>
    </row>
    <row r="323" spans="1:7">
      <c r="A323" s="2986" t="s">
        <v>306</v>
      </c>
      <c r="B323" s="2975" t="s">
        <v>3218</v>
      </c>
      <c r="C323" s="2987"/>
      <c r="D323" s="2987"/>
      <c r="E323" s="2987"/>
      <c r="F323" s="2976">
        <v>0.05</v>
      </c>
      <c r="G323" s="2993"/>
    </row>
    <row r="324" spans="1:7">
      <c r="A324" s="2986" t="s">
        <v>306</v>
      </c>
      <c r="B324" s="2975" t="s">
        <v>3219</v>
      </c>
      <c r="C324" s="2987"/>
      <c r="D324" s="2987"/>
      <c r="E324" s="2987"/>
      <c r="F324" s="2976">
        <v>0.05</v>
      </c>
      <c r="G324" s="2993"/>
    </row>
    <row r="325" spans="1:7">
      <c r="A325" s="2986" t="s">
        <v>306</v>
      </c>
      <c r="B325" s="2975" t="s">
        <v>3220</v>
      </c>
      <c r="C325" s="2987"/>
      <c r="D325" s="2987"/>
      <c r="E325" s="2987"/>
      <c r="F325" s="2976">
        <v>0.05</v>
      </c>
      <c r="G325" s="2993"/>
    </row>
    <row r="326" spans="1:7" ht="14.25" thickBot="1">
      <c r="A326" s="2989" t="s">
        <v>306</v>
      </c>
      <c r="B326" s="2979" t="s">
        <v>3221</v>
      </c>
      <c r="C326" s="2981"/>
      <c r="D326" s="2981"/>
      <c r="E326" s="2981"/>
      <c r="F326" s="2980">
        <v>0.05</v>
      </c>
      <c r="G326" s="2994"/>
    </row>
    <row r="327" spans="1:7">
      <c r="A327" s="2985" t="s">
        <v>307</v>
      </c>
      <c r="B327" s="2971" t="s">
        <v>2853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2865</v>
      </c>
      <c r="C329" s="2976">
        <v>0.15</v>
      </c>
      <c r="D329" s="2976">
        <v>0.15</v>
      </c>
      <c r="E329" s="2976">
        <v>0.15</v>
      </c>
      <c r="F329" s="2976">
        <v>0.15</v>
      </c>
      <c r="G329" s="2977">
        <v>0.15</v>
      </c>
    </row>
    <row r="330" spans="1:7">
      <c r="A330" s="2986" t="s">
        <v>307</v>
      </c>
      <c r="B330" s="2975" t="s">
        <v>2869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2877</v>
      </c>
      <c r="C332" s="2976">
        <v>0.15</v>
      </c>
      <c r="D332" s="2976">
        <v>0.15</v>
      </c>
      <c r="E332" s="2976">
        <v>0.15</v>
      </c>
      <c r="F332" s="2976">
        <v>0.15</v>
      </c>
      <c r="G332" s="2977">
        <v>0.15</v>
      </c>
    </row>
    <row r="333" spans="1:7">
      <c r="A333" s="2986" t="s">
        <v>307</v>
      </c>
      <c r="B333" s="2975" t="s">
        <v>2881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2887</v>
      </c>
      <c r="C336" s="2976">
        <v>0.15</v>
      </c>
      <c r="D336" s="2976">
        <v>0.15</v>
      </c>
      <c r="E336" s="2976">
        <v>0.15</v>
      </c>
      <c r="F336" s="2976">
        <v>0.14199999999999999</v>
      </c>
      <c r="G336" s="2977">
        <v>0.15</v>
      </c>
    </row>
    <row r="337" spans="1:7">
      <c r="A337" s="2986" t="s">
        <v>307</v>
      </c>
      <c r="B337" s="2975" t="s">
        <v>2892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2912</v>
      </c>
      <c r="C345" s="2976">
        <v>0.15</v>
      </c>
      <c r="D345" s="2976">
        <v>0.15</v>
      </c>
      <c r="E345" s="2976">
        <v>0.15</v>
      </c>
      <c r="F345" s="2976">
        <v>0.13800000000000001</v>
      </c>
      <c r="G345" s="2977">
        <v>0.15</v>
      </c>
    </row>
    <row r="346" spans="1:7">
      <c r="A346" s="2986" t="s">
        <v>307</v>
      </c>
      <c r="B346" s="2975" t="s">
        <v>2914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2921</v>
      </c>
      <c r="C348" s="2976">
        <v>0.15</v>
      </c>
      <c r="D348" s="2976">
        <v>0.15</v>
      </c>
      <c r="E348" s="2976">
        <v>0.15</v>
      </c>
      <c r="F348" s="2976">
        <v>0.14399999999999999</v>
      </c>
      <c r="G348" s="2977">
        <v>0.15</v>
      </c>
    </row>
    <row r="349" spans="1:7">
      <c r="A349" s="2986" t="s">
        <v>307</v>
      </c>
      <c r="B349" s="2975" t="s">
        <v>2926</v>
      </c>
      <c r="C349" s="2976">
        <v>0.15</v>
      </c>
      <c r="D349" s="2976">
        <v>0.15</v>
      </c>
      <c r="E349" s="2976">
        <v>0.15</v>
      </c>
      <c r="F349" s="2976">
        <v>0.15</v>
      </c>
      <c r="G349" s="2977">
        <v>0.15</v>
      </c>
    </row>
    <row r="350" spans="1:7">
      <c r="A350" s="2986" t="s">
        <v>307</v>
      </c>
      <c r="B350" s="2975" t="s">
        <v>2929</v>
      </c>
      <c r="C350" s="2976">
        <v>0.15</v>
      </c>
      <c r="D350" s="2976">
        <v>0.15</v>
      </c>
      <c r="E350" s="2976">
        <v>0.15</v>
      </c>
      <c r="F350" s="2976">
        <v>0.14699999999999999</v>
      </c>
      <c r="G350" s="2977">
        <v>0.15</v>
      </c>
    </row>
    <row r="351" spans="1:7">
      <c r="A351" s="2986" t="s">
        <v>307</v>
      </c>
      <c r="B351" s="2975" t="s">
        <v>2934</v>
      </c>
      <c r="C351" s="2976">
        <v>0.15</v>
      </c>
      <c r="D351" s="2976">
        <v>0.15</v>
      </c>
      <c r="E351" s="2976">
        <v>0.15</v>
      </c>
      <c r="F351" s="2976">
        <v>0.13</v>
      </c>
      <c r="G351" s="2977">
        <v>0.15</v>
      </c>
    </row>
    <row r="352" spans="1:7">
      <c r="A352" s="2986" t="s">
        <v>307</v>
      </c>
      <c r="B352" s="2975" t="s">
        <v>2939</v>
      </c>
      <c r="C352" s="2976">
        <v>0.15</v>
      </c>
      <c r="D352" s="2976">
        <v>0.15</v>
      </c>
      <c r="E352" s="2976">
        <v>0.15</v>
      </c>
      <c r="F352" s="2976">
        <v>0.14599999999999999</v>
      </c>
      <c r="G352" s="2977">
        <v>0.15</v>
      </c>
    </row>
    <row r="353" spans="1:7">
      <c r="A353" s="2986" t="s">
        <v>307</v>
      </c>
      <c r="B353" s="2975" t="s">
        <v>2946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2959</v>
      </c>
      <c r="C355" s="2976">
        <v>0.15</v>
      </c>
      <c r="D355" s="2976">
        <v>0.15</v>
      </c>
      <c r="E355" s="2976">
        <v>0.15</v>
      </c>
      <c r="F355" s="2976">
        <v>0.15</v>
      </c>
      <c r="G355" s="2977">
        <v>0.15</v>
      </c>
    </row>
    <row r="356" spans="1:7">
      <c r="A356" s="2986" t="s">
        <v>307</v>
      </c>
      <c r="B356" s="2975" t="s">
        <v>2966</v>
      </c>
      <c r="C356" s="2976">
        <v>0.15</v>
      </c>
      <c r="D356" s="2976">
        <v>0.15</v>
      </c>
      <c r="E356" s="2976">
        <v>0.15</v>
      </c>
      <c r="F356" s="2976">
        <v>0.15</v>
      </c>
      <c r="G356" s="2977">
        <v>0.15</v>
      </c>
    </row>
    <row r="357" spans="1:7" ht="14.25" thickBot="1">
      <c r="A357" s="2989" t="s">
        <v>307</v>
      </c>
      <c r="B357" s="2979" t="s">
        <v>2971</v>
      </c>
      <c r="C357" s="2980">
        <v>0.126</v>
      </c>
      <c r="D357" s="2980">
        <v>0.127</v>
      </c>
      <c r="E357" s="2980">
        <v>0.14299999999999999</v>
      </c>
      <c r="F357" s="2980">
        <v>0.125</v>
      </c>
      <c r="G357" s="2982">
        <v>0.129</v>
      </c>
    </row>
    <row r="358" spans="1:7">
      <c r="A358" s="2985" t="s">
        <v>2840</v>
      </c>
      <c r="B358" s="2971" t="s">
        <v>2854</v>
      </c>
      <c r="C358" s="2972">
        <v>0.15</v>
      </c>
      <c r="D358" s="2972">
        <v>0.15</v>
      </c>
      <c r="E358" s="2972">
        <v>0.15</v>
      </c>
      <c r="F358" s="2972">
        <v>0.15</v>
      </c>
      <c r="G358" s="2973">
        <v>0.15</v>
      </c>
    </row>
    <row r="359" spans="1:7">
      <c r="A359" s="2986" t="s">
        <v>2840</v>
      </c>
      <c r="B359" s="2975" t="s">
        <v>2860</v>
      </c>
      <c r="C359" s="2976">
        <v>0.1</v>
      </c>
      <c r="D359" s="2976">
        <v>0.1</v>
      </c>
      <c r="E359" s="2976">
        <v>0.1</v>
      </c>
      <c r="F359" s="2976">
        <v>0.1</v>
      </c>
      <c r="G359" s="2977">
        <v>0.1</v>
      </c>
    </row>
    <row r="360" spans="1:7">
      <c r="A360" s="2986" t="s">
        <v>2840</v>
      </c>
      <c r="B360" s="2975" t="s">
        <v>2866</v>
      </c>
      <c r="C360" s="2976">
        <v>0.15</v>
      </c>
      <c r="D360" s="2976">
        <v>0.15</v>
      </c>
      <c r="E360" s="2976">
        <v>0.15</v>
      </c>
      <c r="F360" s="2976">
        <v>0.14899999999999999</v>
      </c>
      <c r="G360" s="2977">
        <v>0.15</v>
      </c>
    </row>
    <row r="361" spans="1:7">
      <c r="A361" s="2986" t="s">
        <v>2840</v>
      </c>
      <c r="B361" s="2975" t="s">
        <v>153</v>
      </c>
      <c r="C361" s="2976">
        <v>0.15</v>
      </c>
      <c r="D361" s="2976">
        <v>0.15</v>
      </c>
      <c r="E361" s="2976">
        <v>0.15</v>
      </c>
      <c r="F361" s="2976">
        <v>0.115</v>
      </c>
      <c r="G361" s="2977">
        <v>0.15</v>
      </c>
    </row>
    <row r="362" spans="1:7">
      <c r="A362" s="2986" t="s">
        <v>2840</v>
      </c>
      <c r="B362" s="2975" t="s">
        <v>2873</v>
      </c>
      <c r="C362" s="2976">
        <v>0.15</v>
      </c>
      <c r="D362" s="2976">
        <v>0.15</v>
      </c>
      <c r="E362" s="2976">
        <v>0.15</v>
      </c>
      <c r="F362" s="2976">
        <v>0.106</v>
      </c>
      <c r="G362" s="2977">
        <v>0.15</v>
      </c>
    </row>
    <row r="363" spans="1:7">
      <c r="A363" s="2986" t="s">
        <v>2840</v>
      </c>
      <c r="B363" s="2975" t="s">
        <v>2878</v>
      </c>
      <c r="C363" s="2976">
        <v>0.15</v>
      </c>
      <c r="D363" s="2976">
        <v>0.15</v>
      </c>
      <c r="E363" s="2976">
        <v>0.15</v>
      </c>
      <c r="F363" s="2976">
        <v>0.14699999999999999</v>
      </c>
      <c r="G363" s="2977">
        <v>0.15</v>
      </c>
    </row>
    <row r="364" spans="1:7">
      <c r="A364" s="2986" t="s">
        <v>2840</v>
      </c>
      <c r="B364" s="2975" t="s">
        <v>2882</v>
      </c>
      <c r="C364" s="2976">
        <v>0.15</v>
      </c>
      <c r="D364" s="2976">
        <v>0.15</v>
      </c>
      <c r="E364" s="2976">
        <v>0.15</v>
      </c>
      <c r="F364" s="2976">
        <v>0.14799999999999999</v>
      </c>
      <c r="G364" s="2977">
        <v>0.15</v>
      </c>
    </row>
    <row r="365" spans="1:7">
      <c r="A365" s="2986" t="s">
        <v>2840</v>
      </c>
      <c r="B365" s="2975" t="s">
        <v>200</v>
      </c>
      <c r="C365" s="2976">
        <v>0.15</v>
      </c>
      <c r="D365" s="2976">
        <v>0.15</v>
      </c>
      <c r="E365" s="2976">
        <v>0.15</v>
      </c>
      <c r="F365" s="2976">
        <v>0.15</v>
      </c>
      <c r="G365" s="2977">
        <v>0.15</v>
      </c>
    </row>
    <row r="366" spans="1:7">
      <c r="A366" s="2986" t="s">
        <v>2840</v>
      </c>
      <c r="B366" s="2975" t="s">
        <v>2885</v>
      </c>
      <c r="C366" s="2976">
        <v>0.15</v>
      </c>
      <c r="D366" s="2976">
        <v>0.15</v>
      </c>
      <c r="E366" s="2976">
        <v>0.15</v>
      </c>
      <c r="F366" s="2976">
        <v>0.15</v>
      </c>
      <c r="G366" s="2977">
        <v>0.15</v>
      </c>
    </row>
    <row r="367" spans="1:7">
      <c r="A367" s="2986" t="s">
        <v>2840</v>
      </c>
      <c r="B367" s="2975" t="s">
        <v>2888</v>
      </c>
      <c r="C367" s="2976">
        <v>0.15</v>
      </c>
      <c r="D367" s="2976">
        <v>0.15</v>
      </c>
      <c r="E367" s="2976">
        <v>0.15</v>
      </c>
      <c r="F367" s="2976">
        <v>0.14699999999999999</v>
      </c>
      <c r="G367" s="2977">
        <v>0.15</v>
      </c>
    </row>
    <row r="368" spans="1:7">
      <c r="A368" s="2986" t="s">
        <v>2840</v>
      </c>
      <c r="B368" s="2975" t="s">
        <v>2893</v>
      </c>
      <c r="C368" s="2976">
        <v>0.15</v>
      </c>
      <c r="D368" s="2976">
        <v>0.15</v>
      </c>
      <c r="E368" s="2976">
        <v>0.15</v>
      </c>
      <c r="F368" s="2976">
        <v>0.13600000000000001</v>
      </c>
      <c r="G368" s="2977">
        <v>0.15</v>
      </c>
    </row>
    <row r="369" spans="1:7">
      <c r="A369" s="2986" t="s">
        <v>2840</v>
      </c>
      <c r="B369" s="2975" t="s">
        <v>214</v>
      </c>
      <c r="C369" s="2976">
        <v>0.15</v>
      </c>
      <c r="D369" s="2976">
        <v>0.15</v>
      </c>
      <c r="E369" s="2976">
        <v>0.15</v>
      </c>
      <c r="F369" s="2976">
        <v>0.14399999999999999</v>
      </c>
      <c r="G369" s="2977">
        <v>0.15</v>
      </c>
    </row>
    <row r="370" spans="1:7">
      <c r="A370" s="2986" t="s">
        <v>2840</v>
      </c>
      <c r="B370" s="2975" t="s">
        <v>221</v>
      </c>
      <c r="C370" s="2976">
        <v>0.15</v>
      </c>
      <c r="D370" s="2976">
        <v>0.15</v>
      </c>
      <c r="E370" s="2976">
        <v>0.15</v>
      </c>
      <c r="F370" s="2976">
        <v>0.14599999999999999</v>
      </c>
      <c r="G370" s="2977">
        <v>0.15</v>
      </c>
    </row>
    <row r="371" spans="1:7">
      <c r="A371" s="2986" t="s">
        <v>2840</v>
      </c>
      <c r="B371" s="2975" t="s">
        <v>229</v>
      </c>
      <c r="C371" s="2976">
        <v>0.15</v>
      </c>
      <c r="D371" s="2976">
        <v>0.15</v>
      </c>
      <c r="E371" s="2976">
        <v>0.15</v>
      </c>
      <c r="F371" s="2976">
        <v>0.12</v>
      </c>
      <c r="G371" s="2977">
        <v>0.15</v>
      </c>
    </row>
    <row r="372" spans="1:7">
      <c r="A372" s="2986" t="s">
        <v>2840</v>
      </c>
      <c r="B372" s="2975" t="s">
        <v>2901</v>
      </c>
      <c r="C372" s="2976">
        <v>0.15</v>
      </c>
      <c r="D372" s="2976">
        <v>0.15</v>
      </c>
      <c r="E372" s="2976">
        <v>0.15</v>
      </c>
      <c r="F372" s="2976">
        <v>0.14299999999999999</v>
      </c>
      <c r="G372" s="2977">
        <v>0.15</v>
      </c>
    </row>
    <row r="373" spans="1:7">
      <c r="A373" s="2986" t="s">
        <v>2840</v>
      </c>
      <c r="B373" s="2975" t="s">
        <v>258</v>
      </c>
      <c r="C373" s="2976">
        <v>0.15</v>
      </c>
      <c r="D373" s="2976">
        <v>0.15</v>
      </c>
      <c r="E373" s="2976">
        <v>0.15</v>
      </c>
      <c r="F373" s="2976">
        <v>0.14599999999999999</v>
      </c>
      <c r="G373" s="2977">
        <v>0.15</v>
      </c>
    </row>
    <row r="374" spans="1:7">
      <c r="A374" s="2986" t="s">
        <v>2840</v>
      </c>
      <c r="B374" s="2975" t="s">
        <v>266</v>
      </c>
      <c r="C374" s="2976">
        <v>0.15</v>
      </c>
      <c r="D374" s="2976">
        <v>0.15</v>
      </c>
      <c r="E374" s="2976">
        <v>0.15</v>
      </c>
      <c r="F374" s="2976">
        <v>0.14399999999999999</v>
      </c>
      <c r="G374" s="2977">
        <v>0.15</v>
      </c>
    </row>
    <row r="375" spans="1:7">
      <c r="A375" s="2986" t="s">
        <v>2840</v>
      </c>
      <c r="B375" s="2975" t="s">
        <v>2909</v>
      </c>
      <c r="C375" s="2976">
        <v>0.15</v>
      </c>
      <c r="D375" s="2976">
        <v>0.15</v>
      </c>
      <c r="E375" s="2976">
        <v>0.15</v>
      </c>
      <c r="F375" s="2976">
        <v>0.13</v>
      </c>
      <c r="G375" s="2977">
        <v>0.15</v>
      </c>
    </row>
    <row r="376" spans="1:7">
      <c r="A376" s="2986" t="s">
        <v>2840</v>
      </c>
      <c r="B376" s="2975" t="s">
        <v>277</v>
      </c>
      <c r="C376" s="2976">
        <v>0.15</v>
      </c>
      <c r="D376" s="2976">
        <v>0.15</v>
      </c>
      <c r="E376" s="2976">
        <v>0.15</v>
      </c>
      <c r="F376" s="2976">
        <v>0.14199999999999999</v>
      </c>
      <c r="G376" s="2977">
        <v>0.15</v>
      </c>
    </row>
    <row r="377" spans="1:7" ht="14.25" thickBot="1">
      <c r="A377" s="2989" t="s">
        <v>2840</v>
      </c>
      <c r="B377" s="2979" t="s">
        <v>2915</v>
      </c>
      <c r="C377" s="2980">
        <v>0.15</v>
      </c>
      <c r="D377" s="2980">
        <v>0.15</v>
      </c>
      <c r="E377" s="2980">
        <v>0.15</v>
      </c>
      <c r="F377" s="2980">
        <v>0.14000000000000001</v>
      </c>
      <c r="G377" s="2982">
        <v>0.15</v>
      </c>
    </row>
    <row r="378" spans="1:7">
      <c r="A378" s="2985" t="s">
        <v>2841</v>
      </c>
      <c r="B378" s="2971" t="s">
        <v>2855</v>
      </c>
      <c r="C378" s="2972">
        <v>0.15</v>
      </c>
      <c r="D378" s="2972">
        <v>0.15</v>
      </c>
      <c r="E378" s="2972">
        <v>0.15</v>
      </c>
      <c r="F378" s="2972">
        <v>0.107</v>
      </c>
      <c r="G378" s="2973">
        <v>0.15</v>
      </c>
    </row>
    <row r="379" spans="1:7">
      <c r="A379" s="2986" t="s">
        <v>2841</v>
      </c>
      <c r="B379" s="2975" t="s">
        <v>2861</v>
      </c>
      <c r="C379" s="2976">
        <v>0.15</v>
      </c>
      <c r="D379" s="2976">
        <v>0.15</v>
      </c>
      <c r="E379" s="2976">
        <v>0.15</v>
      </c>
      <c r="F379" s="2976">
        <v>0.115</v>
      </c>
      <c r="G379" s="2977">
        <v>0.14899999999999999</v>
      </c>
    </row>
    <row r="380" spans="1:7">
      <c r="A380" s="2986" t="s">
        <v>2841</v>
      </c>
      <c r="B380" s="2975" t="s">
        <v>2867</v>
      </c>
      <c r="C380" s="2976">
        <v>0.15</v>
      </c>
      <c r="D380" s="2976">
        <v>0.15</v>
      </c>
      <c r="E380" s="2976">
        <v>0.15</v>
      </c>
      <c r="F380" s="2976">
        <v>0.1</v>
      </c>
      <c r="G380" s="2977">
        <v>0.14799999999999999</v>
      </c>
    </row>
    <row r="381" spans="1:7">
      <c r="A381" s="2986" t="s">
        <v>2841</v>
      </c>
      <c r="B381" s="2975" t="s">
        <v>2870</v>
      </c>
      <c r="C381" s="2976">
        <v>0.15</v>
      </c>
      <c r="D381" s="2976">
        <v>0.15</v>
      </c>
      <c r="E381" s="2976">
        <v>0.15</v>
      </c>
      <c r="F381" s="2976">
        <v>0.126</v>
      </c>
      <c r="G381" s="2977">
        <v>0.15</v>
      </c>
    </row>
    <row r="382" spans="1:7">
      <c r="A382" s="2986" t="s">
        <v>2841</v>
      </c>
      <c r="B382" s="2975" t="s">
        <v>2874</v>
      </c>
      <c r="C382" s="2976">
        <v>0.15</v>
      </c>
      <c r="D382" s="2976">
        <v>0.15</v>
      </c>
      <c r="E382" s="2976">
        <v>0.15</v>
      </c>
      <c r="F382" s="2976">
        <v>0.15</v>
      </c>
      <c r="G382" s="2977">
        <v>0.15</v>
      </c>
    </row>
    <row r="383" spans="1:7">
      <c r="A383" s="2986" t="s">
        <v>2841</v>
      </c>
      <c r="B383" s="2975" t="s">
        <v>2879</v>
      </c>
      <c r="C383" s="2976">
        <v>0.15</v>
      </c>
      <c r="D383" s="2976">
        <v>0.15</v>
      </c>
      <c r="E383" s="2976">
        <v>0.15</v>
      </c>
      <c r="F383" s="2976">
        <v>0.14699999999999999</v>
      </c>
      <c r="G383" s="2977">
        <v>0.15</v>
      </c>
    </row>
    <row r="384" spans="1:7" ht="14.25" thickBot="1">
      <c r="A384" s="2996" t="s">
        <v>2841</v>
      </c>
      <c r="B384" s="2997" t="s">
        <v>2883</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1"/>
  </cols>
  <sheetData>
    <row r="1" spans="1:6">
      <c r="A1" s="3585" t="s">
        <v>3222</v>
      </c>
      <c r="B1" s="3585"/>
      <c r="C1" s="3585"/>
      <c r="D1" s="3585"/>
      <c r="E1" s="3585"/>
      <c r="F1" s="3586"/>
    </row>
    <row r="2" spans="1:6">
      <c r="A2" s="3000" t="s">
        <v>3223</v>
      </c>
    </row>
    <row r="3" spans="1:6">
      <c r="A3" s="3000" t="s">
        <v>3224</v>
      </c>
      <c r="F3" s="3001" t="s">
        <v>3225</v>
      </c>
    </row>
    <row r="4" spans="1:6">
      <c r="A4" s="3002" t="s">
        <v>672</v>
      </c>
      <c r="B4" s="3002" t="s">
        <v>673</v>
      </c>
      <c r="C4" s="3002" t="s">
        <v>21</v>
      </c>
      <c r="D4" s="3002" t="s">
        <v>674</v>
      </c>
      <c r="E4" s="3002" t="s">
        <v>3</v>
      </c>
      <c r="F4" s="3002" t="s">
        <v>3226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45792</v>
      </c>
      <c r="B1" s="2927" t="s">
        <v>3368</v>
      </c>
      <c r="C1" s="2928"/>
      <c r="D1" s="2928"/>
      <c r="E1" s="2928"/>
      <c r="F1" s="2928"/>
      <c r="G1" s="2928"/>
      <c r="H1" s="2928"/>
      <c r="I1" s="2928"/>
      <c r="J1" s="2894"/>
      <c r="K1" s="2928" t="s">
        <v>454</v>
      </c>
      <c r="L1" s="2928"/>
      <c r="M1" s="2928"/>
      <c r="N1" s="2928"/>
      <c r="O1" s="2928"/>
      <c r="P1" s="2928"/>
      <c r="Q1" s="2894"/>
      <c r="R1" s="3587" t="s">
        <v>456</v>
      </c>
      <c r="S1" s="3588"/>
      <c r="T1" s="3588"/>
      <c r="U1" s="3588"/>
      <c r="V1" s="3588"/>
      <c r="W1" s="3588"/>
      <c r="X1" s="2894"/>
      <c r="Y1" s="3587" t="s">
        <v>457</v>
      </c>
      <c r="Z1" s="3588"/>
      <c r="AA1" s="3588"/>
      <c r="AB1" s="3588"/>
      <c r="AC1" s="3588"/>
      <c r="AD1" s="3588"/>
    </row>
    <row r="2" spans="1:44" s="2009" customFormat="1" ht="14.25" thickBot="1">
      <c r="B2" s="2879"/>
      <c r="C2" s="2880"/>
      <c r="D2" s="2010" t="s">
        <v>2800</v>
      </c>
      <c r="E2" s="2011" t="s">
        <v>2801</v>
      </c>
      <c r="F2" s="2011" t="s">
        <v>2802</v>
      </c>
      <c r="G2" s="2011" t="s">
        <v>2803</v>
      </c>
      <c r="H2" s="2011" t="s">
        <v>2804</v>
      </c>
      <c r="I2" s="2011" t="s">
        <v>2621</v>
      </c>
      <c r="J2" s="2881"/>
      <c r="K2" s="2010" t="s">
        <v>2800</v>
      </c>
      <c r="L2" s="2011" t="s">
        <v>2801</v>
      </c>
      <c r="M2" s="2011" t="s">
        <v>2802</v>
      </c>
      <c r="N2" s="2011" t="s">
        <v>2803</v>
      </c>
      <c r="O2" s="2011" t="s">
        <v>2805</v>
      </c>
      <c r="P2" s="2011" t="s">
        <v>2621</v>
      </c>
      <c r="Q2" s="2881"/>
      <c r="R2" s="2010" t="s">
        <v>2800</v>
      </c>
      <c r="S2" s="2011" t="s">
        <v>2801</v>
      </c>
      <c r="T2" s="2011" t="s">
        <v>2802</v>
      </c>
      <c r="U2" s="2011" t="s">
        <v>2806</v>
      </c>
      <c r="V2" s="2011" t="s">
        <v>2807</v>
      </c>
      <c r="W2" s="2011" t="s">
        <v>2621</v>
      </c>
      <c r="X2" s="2881"/>
      <c r="Y2" s="2010" t="s">
        <v>2800</v>
      </c>
      <c r="Z2" s="2011" t="s">
        <v>2801</v>
      </c>
      <c r="AA2" s="2011" t="s">
        <v>2802</v>
      </c>
      <c r="AB2" s="2011" t="s">
        <v>2808</v>
      </c>
      <c r="AC2" s="2011" t="s">
        <v>2807</v>
      </c>
      <c r="AD2" s="2011" t="s">
        <v>2621</v>
      </c>
      <c r="AF2" t="s">
        <v>3395</v>
      </c>
      <c r="AG2" t="s">
        <v>673</v>
      </c>
      <c r="AH2" t="s">
        <v>21</v>
      </c>
      <c r="AI2" t="s">
        <v>3396</v>
      </c>
      <c r="AJ2" t="s">
        <v>3</v>
      </c>
      <c r="AK2" t="s">
        <v>3397</v>
      </c>
      <c r="AM2" t="s">
        <v>3395</v>
      </c>
      <c r="AN2" t="s">
        <v>673</v>
      </c>
      <c r="AO2" t="s">
        <v>21</v>
      </c>
      <c r="AP2" t="s">
        <v>3396</v>
      </c>
      <c r="AQ2" t="s">
        <v>3</v>
      </c>
      <c r="AR2" t="s">
        <v>3397</v>
      </c>
    </row>
    <row r="3" spans="1:44" s="2884" customFormat="1" ht="12.75">
      <c r="A3" s="2882" t="s">
        <v>2809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2.75">
      <c r="A6" s="2039" t="s">
        <v>3393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3392</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2.75">
      <c r="A8" s="2039" t="s">
        <v>3400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2.75">
      <c r="A9" s="2039" t="s">
        <v>3399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2.75">
      <c r="A10" s="2039" t="s">
        <v>3372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2.75">
      <c r="A11" s="2903" t="s">
        <v>3366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2.75">
      <c r="A12" s="2903" t="s">
        <v>3365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2.75">
      <c r="A13" s="2903" t="s">
        <v>3361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2.75">
      <c r="A14" s="2903" t="s">
        <v>3360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2.75">
      <c r="A15" s="2903" t="s">
        <v>3358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2.75">
      <c r="A16" s="2903" t="s">
        <v>3357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2.75">
      <c r="A17" s="2903" t="s">
        <v>3356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2.75">
      <c r="A18" s="2903" t="s">
        <v>3354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2.75">
      <c r="A19" s="2903" t="s">
        <v>3345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2.75">
      <c r="A20" s="2903" t="s">
        <v>2810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2.75">
      <c r="A21" s="2903" t="s">
        <v>2811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2.75">
      <c r="A22" s="2903" t="s">
        <v>2812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2.75">
      <c r="A23" s="2903" t="s">
        <v>2813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3371</v>
      </c>
    </row>
    <row r="27" spans="1:44">
      <c r="I27" s="1404" t="s">
        <v>2815</v>
      </c>
    </row>
    <row r="29" spans="1:44" s="2008" customFormat="1" ht="12.75">
      <c r="B29" s="2927" t="s">
        <v>3369</v>
      </c>
      <c r="C29" s="2928"/>
      <c r="D29" s="2928"/>
      <c r="E29" s="2928"/>
      <c r="F29" s="2928"/>
      <c r="G29" s="2928"/>
      <c r="H29" s="2928"/>
      <c r="I29" s="2928"/>
      <c r="J29" s="2894"/>
      <c r="K29" s="2928" t="s">
        <v>2816</v>
      </c>
      <c r="L29" s="2928"/>
      <c r="M29" s="2928"/>
      <c r="N29" s="2928"/>
      <c r="O29" s="2928"/>
      <c r="P29" s="2928"/>
      <c r="Q29" s="2894"/>
      <c r="R29" s="3587" t="s">
        <v>2817</v>
      </c>
      <c r="S29" s="3588"/>
      <c r="T29" s="3588"/>
      <c r="U29" s="3588"/>
      <c r="V29" s="3588"/>
      <c r="W29" s="3588"/>
      <c r="X29" s="2894"/>
      <c r="Y29" s="3587" t="s">
        <v>2818</v>
      </c>
      <c r="Z29" s="3588"/>
      <c r="AA29" s="3588"/>
      <c r="AB29" s="3588"/>
      <c r="AC29" s="3588"/>
      <c r="AD29" s="3588"/>
    </row>
    <row r="30" spans="1:44" s="2009" customFormat="1" ht="14.25" thickBot="1">
      <c r="B30" s="2879"/>
      <c r="C30" s="2880"/>
      <c r="D30" s="2010" t="s">
        <v>2819</v>
      </c>
      <c r="E30" s="2011" t="s">
        <v>2820</v>
      </c>
      <c r="F30" s="2011" t="s">
        <v>2821</v>
      </c>
      <c r="G30" s="2011" t="s">
        <v>2822</v>
      </c>
      <c r="H30" s="2011"/>
      <c r="I30" s="2011" t="s">
        <v>2823</v>
      </c>
      <c r="J30" s="2881"/>
      <c r="K30" s="2010" t="s">
        <v>2819</v>
      </c>
      <c r="L30" s="2011" t="s">
        <v>2820</v>
      </c>
      <c r="M30" s="2011" t="s">
        <v>2821</v>
      </c>
      <c r="N30" s="2011" t="s">
        <v>2822</v>
      </c>
      <c r="O30" s="2011"/>
      <c r="P30" s="2011" t="s">
        <v>2823</v>
      </c>
      <c r="Q30" s="2881"/>
      <c r="R30" s="2010" t="s">
        <v>2819</v>
      </c>
      <c r="S30" s="2011" t="s">
        <v>2820</v>
      </c>
      <c r="T30" s="2011" t="s">
        <v>2821</v>
      </c>
      <c r="U30" s="2011" t="s">
        <v>2822</v>
      </c>
      <c r="V30" s="2011"/>
      <c r="W30" s="2011" t="s">
        <v>2823</v>
      </c>
      <c r="X30" s="2881"/>
      <c r="Y30" s="2010" t="s">
        <v>2819</v>
      </c>
      <c r="Z30" s="2011" t="s">
        <v>2820</v>
      </c>
      <c r="AA30" s="2011" t="s">
        <v>2821</v>
      </c>
      <c r="AB30" s="2011" t="s">
        <v>2822</v>
      </c>
      <c r="AC30" s="2011"/>
      <c r="AD30" s="2011" t="s">
        <v>2823</v>
      </c>
      <c r="AG30" t="s">
        <v>673</v>
      </c>
      <c r="AH30" t="s">
        <v>21</v>
      </c>
      <c r="AI30" t="s">
        <v>3396</v>
      </c>
      <c r="AJ30"/>
      <c r="AK30" t="s">
        <v>3397</v>
      </c>
      <c r="AN30" t="s">
        <v>673</v>
      </c>
      <c r="AO30" t="s">
        <v>21</v>
      </c>
      <c r="AP30" t="s">
        <v>3396</v>
      </c>
      <c r="AQ30"/>
      <c r="AR30" t="s">
        <v>3397</v>
      </c>
    </row>
    <row r="31" spans="1:44" s="2884" customFormat="1" ht="12.75">
      <c r="A31" s="2882" t="s">
        <v>2824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2.75">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2.75">
      <c r="A34" s="2039" t="s">
        <v>3393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3401</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2.75">
      <c r="A36" s="2039" t="s">
        <v>3398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2.75">
      <c r="A37" s="2039" t="s">
        <v>3399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2.75">
      <c r="A38" s="2039" t="s">
        <v>3363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2.75">
      <c r="A39" s="2903" t="s">
        <v>3367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2.75">
      <c r="A40" s="2903" t="s">
        <v>3364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2.75">
      <c r="A41" s="2903" t="s">
        <v>3362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2.75">
      <c r="A42" s="2903" t="s">
        <v>3360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2.75">
      <c r="A43" s="2903" t="s">
        <v>3359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2.75">
      <c r="A44" s="2903" t="s">
        <v>3357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2.75">
      <c r="A45" s="2903" t="s">
        <v>3356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2.75">
      <c r="A46" s="2903" t="s">
        <v>3355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2.75">
      <c r="A47" s="2903" t="s">
        <v>3345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2.75">
      <c r="A48" s="2903" t="s">
        <v>2825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2.75">
      <c r="A49" s="2903" t="s">
        <v>2826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2.75">
      <c r="A50" s="2903" t="s">
        <v>2827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2.75">
      <c r="A51" s="2903" t="s">
        <v>2828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92" t="s">
        <v>452</v>
      </c>
      <c r="C1" s="3592"/>
      <c r="D1" s="3592"/>
      <c r="E1" s="3592"/>
      <c r="F1" s="3592"/>
      <c r="G1" s="3588" t="s">
        <v>453</v>
      </c>
      <c r="H1" s="3588"/>
      <c r="I1" s="3588"/>
      <c r="J1" s="3588"/>
      <c r="K1" s="3588"/>
      <c r="L1" s="3588"/>
      <c r="N1" s="3588" t="s">
        <v>454</v>
      </c>
      <c r="O1" s="3588"/>
      <c r="P1" s="3588"/>
      <c r="Q1" s="3588"/>
      <c r="S1" s="3588" t="s">
        <v>455</v>
      </c>
      <c r="T1" s="3588"/>
      <c r="U1" s="3588"/>
      <c r="V1" s="3588"/>
      <c r="X1" s="3587" t="s">
        <v>456</v>
      </c>
      <c r="Y1" s="3588"/>
      <c r="Z1" s="3588"/>
      <c r="AA1" s="3588"/>
      <c r="AB1" s="3588"/>
      <c r="AD1" s="3587" t="s">
        <v>457</v>
      </c>
      <c r="AE1" s="3588"/>
      <c r="AF1" s="3588"/>
      <c r="AG1" s="3588"/>
      <c r="AH1" s="358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9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9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9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9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9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9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9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9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9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9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9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9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8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9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9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9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8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9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9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9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9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9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9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9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8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9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9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9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8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9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9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9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8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9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9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9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8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9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9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9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8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9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9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9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8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9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9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9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8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9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9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9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8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9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9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9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8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9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9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9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8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9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9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9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8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9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9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9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600" t="s">
        <v>2829</v>
      </c>
      <c r="B1" s="3600"/>
      <c r="C1" s="3600"/>
      <c r="D1" s="3600"/>
      <c r="E1" s="3600"/>
      <c r="F1" s="3600"/>
      <c r="G1" s="3601"/>
      <c r="I1" s="2936" t="s">
        <v>2830</v>
      </c>
      <c r="J1" s="2937" t="s">
        <v>2831</v>
      </c>
      <c r="K1" s="2937" t="s">
        <v>2832</v>
      </c>
      <c r="L1" s="2937" t="s">
        <v>2833</v>
      </c>
      <c r="M1" s="2937" t="s">
        <v>2834</v>
      </c>
      <c r="N1" s="2937" t="s">
        <v>2835</v>
      </c>
      <c r="O1" s="2937" t="s">
        <v>2836</v>
      </c>
      <c r="P1" s="2937" t="s">
        <v>2837</v>
      </c>
      <c r="Q1" s="2937" t="s">
        <v>2838</v>
      </c>
      <c r="R1" s="2937" t="s">
        <v>2839</v>
      </c>
      <c r="S1" s="2937" t="s">
        <v>2840</v>
      </c>
      <c r="T1" s="2938" t="s">
        <v>2841</v>
      </c>
    </row>
    <row r="2" spans="1:20" ht="12" thickBot="1">
      <c r="A2" s="2939" t="s">
        <v>2842</v>
      </c>
      <c r="B2" s="2939"/>
      <c r="C2" s="2939"/>
      <c r="D2" s="2939"/>
      <c r="E2" s="2939"/>
      <c r="F2" s="2939"/>
      <c r="G2" s="2940" t="s">
        <v>2843</v>
      </c>
      <c r="I2" s="2941" t="s">
        <v>2844</v>
      </c>
      <c r="J2" s="2941" t="s">
        <v>2845</v>
      </c>
      <c r="K2" s="2941" t="s">
        <v>2846</v>
      </c>
      <c r="L2" s="2941" t="s">
        <v>2847</v>
      </c>
      <c r="M2" s="2941" t="s">
        <v>2848</v>
      </c>
      <c r="N2" s="2941" t="s">
        <v>2849</v>
      </c>
      <c r="O2" s="2941" t="s">
        <v>2850</v>
      </c>
      <c r="P2" s="2941" t="s">
        <v>2851</v>
      </c>
      <c r="Q2" s="2941" t="s">
        <v>2852</v>
      </c>
      <c r="R2" s="2941" t="s">
        <v>2853</v>
      </c>
      <c r="S2" s="2941" t="s">
        <v>2854</v>
      </c>
      <c r="T2" s="2941" t="s">
        <v>2855</v>
      </c>
    </row>
    <row r="3" spans="1:20" s="2947" customFormat="1">
      <c r="A3" s="3598" t="s">
        <v>2856</v>
      </c>
      <c r="B3" s="2942"/>
      <c r="C3" s="2943" t="s">
        <v>2801</v>
      </c>
      <c r="D3" s="2943" t="s">
        <v>2857</v>
      </c>
      <c r="E3" s="2943" t="s">
        <v>2803</v>
      </c>
      <c r="F3" s="2943" t="s">
        <v>2858</v>
      </c>
      <c r="G3" s="2943" t="s">
        <v>2621</v>
      </c>
      <c r="H3" s="2944"/>
      <c r="I3" s="2945" t="s">
        <v>2859</v>
      </c>
      <c r="J3" s="2946" t="s">
        <v>128</v>
      </c>
      <c r="K3" s="2946" t="s">
        <v>129</v>
      </c>
      <c r="L3" s="2945" t="s">
        <v>130</v>
      </c>
      <c r="M3" s="2945" t="s">
        <v>131</v>
      </c>
      <c r="N3" s="2945" t="s">
        <v>132</v>
      </c>
      <c r="O3" s="2945" t="s">
        <v>133</v>
      </c>
      <c r="P3" s="2945" t="s">
        <v>134</v>
      </c>
      <c r="Q3" s="2945" t="s">
        <v>135</v>
      </c>
      <c r="R3" s="2945" t="s">
        <v>136</v>
      </c>
      <c r="S3" s="2945" t="s">
        <v>2860</v>
      </c>
      <c r="T3" s="2945" t="s">
        <v>2861</v>
      </c>
    </row>
    <row r="4" spans="1:20" s="2947" customFormat="1" ht="12" thickBot="1">
      <c r="A4" s="3599"/>
      <c r="B4" s="2948" t="s">
        <v>2862</v>
      </c>
      <c r="C4" s="2948" t="s">
        <v>2863</v>
      </c>
      <c r="D4" s="2948" t="s">
        <v>2863</v>
      </c>
      <c r="E4" s="2948" t="s">
        <v>2863</v>
      </c>
      <c r="F4" s="2949" t="s">
        <v>2863</v>
      </c>
      <c r="G4" s="2949" t="s">
        <v>2863</v>
      </c>
      <c r="H4" s="2944"/>
      <c r="I4" s="2946" t="s">
        <v>137</v>
      </c>
      <c r="J4" s="2946" t="s">
        <v>111</v>
      </c>
      <c r="K4" s="2946" t="s">
        <v>138</v>
      </c>
      <c r="L4" s="2945" t="s">
        <v>139</v>
      </c>
      <c r="M4" s="2945" t="s">
        <v>140</v>
      </c>
      <c r="N4" s="2945" t="s">
        <v>141</v>
      </c>
      <c r="O4" s="2945" t="s">
        <v>142</v>
      </c>
      <c r="P4" s="2945" t="s">
        <v>143</v>
      </c>
      <c r="Q4" s="2945" t="s">
        <v>2864</v>
      </c>
      <c r="R4" s="2945" t="s">
        <v>2865</v>
      </c>
      <c r="S4" s="2945" t="s">
        <v>2866</v>
      </c>
      <c r="T4" s="2945" t="s">
        <v>2867</v>
      </c>
    </row>
    <row r="5" spans="1:20">
      <c r="A5" s="2950" t="s">
        <v>2830</v>
      </c>
      <c r="B5" s="2941" t="s">
        <v>2844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2868</v>
      </c>
      <c r="R5" s="2945" t="s">
        <v>2869</v>
      </c>
      <c r="S5" s="2945" t="s">
        <v>153</v>
      </c>
      <c r="T5" s="2945" t="s">
        <v>2870</v>
      </c>
    </row>
    <row r="6" spans="1:20" ht="12" thickBot="1">
      <c r="A6" s="2945" t="s">
        <v>144</v>
      </c>
      <c r="B6" s="2945" t="s">
        <v>2859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2871</v>
      </c>
      <c r="Q6" s="2945" t="s">
        <v>2872</v>
      </c>
      <c r="R6" s="2945" t="s">
        <v>161</v>
      </c>
      <c r="S6" s="2945" t="s">
        <v>2873</v>
      </c>
      <c r="T6" s="2945" t="s">
        <v>2874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2875</v>
      </c>
      <c r="Q7" s="2945" t="s">
        <v>2876</v>
      </c>
      <c r="R7" s="2945" t="s">
        <v>2877</v>
      </c>
      <c r="S7" s="2945" t="s">
        <v>2878</v>
      </c>
      <c r="T7" s="2945" t="s">
        <v>2879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2880</v>
      </c>
      <c r="Q8" s="2945" t="s">
        <v>174</v>
      </c>
      <c r="R8" s="2945" t="s">
        <v>2881</v>
      </c>
      <c r="S8" s="2945" t="s">
        <v>2882</v>
      </c>
      <c r="T8" s="2952" t="s">
        <v>2883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2884</v>
      </c>
      <c r="Q9" s="2945" t="s">
        <v>182</v>
      </c>
      <c r="R9" s="2945" t="s">
        <v>183</v>
      </c>
      <c r="S9" s="2945" t="s">
        <v>200</v>
      </c>
    </row>
    <row r="10" spans="1:20">
      <c r="A10" s="2950" t="s">
        <v>184</v>
      </c>
      <c r="B10" s="2941" t="s">
        <v>2845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2886</v>
      </c>
      <c r="P11" s="2945" t="s">
        <v>191</v>
      </c>
      <c r="Q11" s="2945" t="s">
        <v>199</v>
      </c>
      <c r="R11" s="2945" t="s">
        <v>2887</v>
      </c>
      <c r="S11" s="2945" t="s">
        <v>2888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2889</v>
      </c>
      <c r="P12" s="2945" t="s">
        <v>2890</v>
      </c>
      <c r="Q12" s="2945" t="s">
        <v>2891</v>
      </c>
      <c r="R12" s="2945" t="s">
        <v>2892</v>
      </c>
      <c r="S12" s="2945" t="s">
        <v>2893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2895</v>
      </c>
      <c r="K14" s="2946" t="s">
        <v>215</v>
      </c>
      <c r="L14" s="2945" t="s">
        <v>216</v>
      </c>
      <c r="M14" s="2945" t="s">
        <v>217</v>
      </c>
      <c r="N14" s="2945" t="s">
        <v>218</v>
      </c>
      <c r="O14" s="2945" t="s">
        <v>240</v>
      </c>
      <c r="P14" s="2945" t="s">
        <v>213</v>
      </c>
      <c r="Q14" s="2945" t="s">
        <v>2896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2897</v>
      </c>
      <c r="P15" s="2945" t="s">
        <v>2898</v>
      </c>
      <c r="Q15" s="2945" t="s">
        <v>242</v>
      </c>
      <c r="R15" s="2945" t="s">
        <v>2899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2900</v>
      </c>
      <c r="P16" s="2945" t="s">
        <v>227</v>
      </c>
      <c r="Q16" s="2945" t="s">
        <v>250</v>
      </c>
      <c r="R16" s="2945" t="s">
        <v>207</v>
      </c>
      <c r="S16" s="2945" t="s">
        <v>2901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2902</v>
      </c>
      <c r="P17" s="2945" t="s">
        <v>2903</v>
      </c>
      <c r="Q17" s="2945" t="s">
        <v>256</v>
      </c>
      <c r="R17" s="2945" t="s">
        <v>2904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2905</v>
      </c>
      <c r="P18" s="2945" t="s">
        <v>241</v>
      </c>
      <c r="Q18" s="2945" t="s">
        <v>2906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2907</v>
      </c>
      <c r="P19" s="2945" t="s">
        <v>249</v>
      </c>
      <c r="Q19" s="2945" t="s">
        <v>2908</v>
      </c>
      <c r="R19" s="2945" t="s">
        <v>265</v>
      </c>
      <c r="S19" s="2945" t="s">
        <v>2909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2910</v>
      </c>
      <c r="P20" s="2945" t="s">
        <v>2911</v>
      </c>
      <c r="Q20" s="2945" t="s">
        <v>290</v>
      </c>
      <c r="R20" s="2945" t="s">
        <v>2912</v>
      </c>
      <c r="S20" s="2945" t="s">
        <v>277</v>
      </c>
    </row>
    <row r="21" spans="1:19" ht="14.25" customHeight="1" thickBot="1">
      <c r="A21" s="2945" t="s">
        <v>184</v>
      </c>
      <c r="B21" s="2946" t="s">
        <v>208</v>
      </c>
      <c r="C21" s="2945">
        <v>32370</v>
      </c>
      <c r="D21" s="2945">
        <v>26730</v>
      </c>
      <c r="E21" s="2945">
        <v>26640</v>
      </c>
      <c r="F21" s="2945"/>
      <c r="G21" s="2945">
        <v>19440</v>
      </c>
      <c r="J21" s="2952" t="s">
        <v>2913</v>
      </c>
      <c r="K21" s="2946" t="s">
        <v>267</v>
      </c>
      <c r="L21" s="2945" t="s">
        <v>268</v>
      </c>
      <c r="M21" s="2945" t="s">
        <v>269</v>
      </c>
      <c r="N21" s="2945" t="s">
        <v>270</v>
      </c>
      <c r="O21" s="2945" t="s">
        <v>264</v>
      </c>
      <c r="P21" s="2945" t="s">
        <v>283</v>
      </c>
      <c r="Q21" s="2945" t="s">
        <v>293</v>
      </c>
      <c r="R21" s="2945" t="s">
        <v>2914</v>
      </c>
      <c r="S21" s="2952" t="s">
        <v>2915</v>
      </c>
    </row>
    <row r="22" spans="1:19" ht="14.25" customHeight="1">
      <c r="A22" s="2945" t="s">
        <v>184</v>
      </c>
      <c r="B22" s="2946" t="s">
        <v>2895</v>
      </c>
      <c r="C22" s="2945">
        <v>29830</v>
      </c>
      <c r="D22" s="2945">
        <v>27600</v>
      </c>
      <c r="E22" s="2945">
        <v>28150</v>
      </c>
      <c r="F22" s="2945"/>
      <c r="G22" s="2945">
        <v>20080</v>
      </c>
      <c r="K22" s="2946" t="s">
        <v>2916</v>
      </c>
      <c r="L22" s="2945" t="s">
        <v>272</v>
      </c>
      <c r="M22" s="2945" t="s">
        <v>273</v>
      </c>
      <c r="N22" s="2945" t="s">
        <v>274</v>
      </c>
      <c r="O22" s="2945" t="s">
        <v>2917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2918</v>
      </c>
      <c r="L23" s="2945" t="s">
        <v>278</v>
      </c>
      <c r="M23" s="2945" t="s">
        <v>279</v>
      </c>
      <c r="N23" s="2945" t="s">
        <v>2919</v>
      </c>
      <c r="O23" s="2945" t="s">
        <v>2920</v>
      </c>
      <c r="P23" s="2945" t="s">
        <v>289</v>
      </c>
      <c r="Q23" s="2945" t="s">
        <v>298</v>
      </c>
      <c r="R23" s="2945" t="s">
        <v>2921</v>
      </c>
    </row>
    <row r="24" spans="1:19" ht="14.25" customHeight="1">
      <c r="A24" s="2945" t="s">
        <v>184</v>
      </c>
      <c r="B24" s="2946" t="s">
        <v>230</v>
      </c>
      <c r="C24" s="2945">
        <v>27930</v>
      </c>
      <c r="D24" s="2945">
        <v>32260</v>
      </c>
      <c r="E24" s="2945">
        <v>32120</v>
      </c>
      <c r="F24" s="2945"/>
      <c r="G24" s="2945">
        <v>23470</v>
      </c>
      <c r="K24" s="2946" t="s">
        <v>2922</v>
      </c>
      <c r="L24" s="2945" t="s">
        <v>281</v>
      </c>
      <c r="M24" s="2945" t="s">
        <v>282</v>
      </c>
      <c r="N24" s="2945" t="s">
        <v>2923</v>
      </c>
      <c r="O24" s="2945" t="s">
        <v>285</v>
      </c>
      <c r="P24" s="2945" t="s">
        <v>2924</v>
      </c>
      <c r="Q24" s="2954" t="s">
        <v>2925</v>
      </c>
      <c r="R24" s="2945" t="s">
        <v>2926</v>
      </c>
    </row>
    <row r="25" spans="1:19" ht="14.25" customHeight="1">
      <c r="A25" s="2945" t="s">
        <v>184</v>
      </c>
      <c r="B25" s="2946" t="s">
        <v>235</v>
      </c>
      <c r="C25" s="2945">
        <v>32230</v>
      </c>
      <c r="D25" s="2945">
        <v>29640</v>
      </c>
      <c r="E25" s="2945">
        <v>29510</v>
      </c>
      <c r="F25" s="2945"/>
      <c r="G25" s="2945">
        <v>21560</v>
      </c>
      <c r="K25" s="2946" t="s">
        <v>2927</v>
      </c>
      <c r="L25" s="2945" t="s">
        <v>2928</v>
      </c>
      <c r="M25" s="2945" t="s">
        <v>284</v>
      </c>
      <c r="N25" s="2945" t="s">
        <v>292</v>
      </c>
      <c r="O25" s="2945" t="s">
        <v>288</v>
      </c>
      <c r="P25" s="2945" t="s">
        <v>275</v>
      </c>
      <c r="Q25" s="2954" t="s">
        <v>271</v>
      </c>
      <c r="R25" s="2945" t="s">
        <v>2929</v>
      </c>
    </row>
    <row r="26" spans="1:19" ht="14.25" customHeight="1" thickBot="1">
      <c r="A26" s="2945" t="s">
        <v>184</v>
      </c>
      <c r="B26" s="2946" t="s">
        <v>244</v>
      </c>
      <c r="C26" s="2945">
        <v>31690</v>
      </c>
      <c r="D26" s="2945">
        <v>27650</v>
      </c>
      <c r="E26" s="2945">
        <v>28200</v>
      </c>
      <c r="F26" s="2945"/>
      <c r="G26" s="2945">
        <v>20110</v>
      </c>
      <c r="K26" s="2951" t="s">
        <v>2930</v>
      </c>
      <c r="L26" s="2945" t="s">
        <v>2931</v>
      </c>
      <c r="M26" s="2945" t="s">
        <v>287</v>
      </c>
      <c r="N26" s="2945" t="s">
        <v>294</v>
      </c>
      <c r="O26" s="2945" t="s">
        <v>2932</v>
      </c>
      <c r="P26" s="2945" t="s">
        <v>2933</v>
      </c>
      <c r="Q26" s="2954" t="s">
        <v>276</v>
      </c>
      <c r="R26" s="2945" t="s">
        <v>2934</v>
      </c>
    </row>
    <row r="27" spans="1:19" ht="14.25" customHeight="1">
      <c r="A27" s="2945" t="s">
        <v>184</v>
      </c>
      <c r="B27" s="2946" t="s">
        <v>251</v>
      </c>
      <c r="C27" s="2945">
        <v>29610</v>
      </c>
      <c r="D27" s="2945">
        <v>27770</v>
      </c>
      <c r="E27" s="2945">
        <v>28300</v>
      </c>
      <c r="F27" s="2945"/>
      <c r="G27" s="2945">
        <v>20210</v>
      </c>
      <c r="L27" s="2945" t="s">
        <v>2935</v>
      </c>
      <c r="M27" s="2945" t="s">
        <v>291</v>
      </c>
      <c r="N27" s="2945" t="s">
        <v>297</v>
      </c>
      <c r="O27" s="2945" t="s">
        <v>2936</v>
      </c>
      <c r="P27" s="2945" t="s">
        <v>2937</v>
      </c>
      <c r="Q27" s="2945" t="s">
        <v>2938</v>
      </c>
      <c r="R27" s="2945" t="s">
        <v>2939</v>
      </c>
    </row>
    <row r="28" spans="1:19" ht="14.25" customHeight="1">
      <c r="A28" s="2945" t="s">
        <v>184</v>
      </c>
      <c r="B28" s="2946" t="s">
        <v>259</v>
      </c>
      <c r="C28" s="2945"/>
      <c r="D28" s="2945">
        <v>31520</v>
      </c>
      <c r="E28" s="2945">
        <v>31410</v>
      </c>
      <c r="F28" s="2945"/>
      <c r="G28" s="2945">
        <v>22940</v>
      </c>
      <c r="L28" s="2945" t="s">
        <v>2940</v>
      </c>
      <c r="M28" s="2945" t="s">
        <v>2941</v>
      </c>
      <c r="N28" s="2945" t="s">
        <v>2942</v>
      </c>
      <c r="O28" s="2945" t="s">
        <v>2943</v>
      </c>
      <c r="P28" s="2945" t="s">
        <v>2944</v>
      </c>
      <c r="Q28" s="2945" t="s">
        <v>2945</v>
      </c>
      <c r="R28" s="2945" t="s">
        <v>2946</v>
      </c>
    </row>
    <row r="29" spans="1:19" ht="14.25" customHeight="1" thickBot="1">
      <c r="A29" s="2953" t="s">
        <v>184</v>
      </c>
      <c r="B29" s="2955" t="s">
        <v>2913</v>
      </c>
      <c r="C29" s="2956"/>
      <c r="D29" s="2956">
        <v>29460</v>
      </c>
      <c r="E29" s="2956">
        <v>28640</v>
      </c>
      <c r="F29" s="2956"/>
      <c r="G29" s="2956">
        <v>21430</v>
      </c>
      <c r="L29" s="2945" t="s">
        <v>2947</v>
      </c>
      <c r="M29" s="2945" t="s">
        <v>2948</v>
      </c>
      <c r="N29" s="2945" t="s">
        <v>2949</v>
      </c>
      <c r="O29" s="2945" t="s">
        <v>2950</v>
      </c>
      <c r="P29" s="2945" t="s">
        <v>2951</v>
      </c>
      <c r="Q29" s="2945" t="s">
        <v>2952</v>
      </c>
      <c r="R29" s="2945" t="s">
        <v>280</v>
      </c>
    </row>
    <row r="30" spans="1:19" ht="14.25" customHeight="1">
      <c r="A30" s="2950" t="s">
        <v>296</v>
      </c>
      <c r="B30" s="2941" t="s">
        <v>2846</v>
      </c>
      <c r="C30" s="2941">
        <v>26890</v>
      </c>
      <c r="D30" s="2941">
        <v>26770</v>
      </c>
      <c r="E30" s="2941">
        <v>25700</v>
      </c>
      <c r="F30" s="2941">
        <v>8180</v>
      </c>
      <c r="G30" s="2957">
        <v>18740</v>
      </c>
      <c r="L30" s="2945" t="s">
        <v>2953</v>
      </c>
      <c r="M30" s="2945" t="s">
        <v>2954</v>
      </c>
      <c r="N30" s="2945" t="s">
        <v>2955</v>
      </c>
      <c r="O30" s="2945" t="s">
        <v>2956</v>
      </c>
      <c r="P30" s="2945" t="s">
        <v>2957</v>
      </c>
      <c r="Q30" s="2945" t="s">
        <v>2958</v>
      </c>
      <c r="R30" s="2945" t="s">
        <v>2959</v>
      </c>
    </row>
    <row r="31" spans="1:19" ht="14.25" customHeight="1">
      <c r="A31" s="2945" t="s">
        <v>296</v>
      </c>
      <c r="B31" s="2946" t="s">
        <v>129</v>
      </c>
      <c r="C31" s="2945">
        <v>24550</v>
      </c>
      <c r="D31" s="2945">
        <v>23990</v>
      </c>
      <c r="E31" s="2945">
        <v>22930</v>
      </c>
      <c r="F31" s="2945">
        <v>7470</v>
      </c>
      <c r="G31" s="2958">
        <v>16790</v>
      </c>
      <c r="L31" s="2945" t="s">
        <v>2960</v>
      </c>
      <c r="M31" s="2945" t="s">
        <v>2961</v>
      </c>
      <c r="N31" s="2945" t="s">
        <v>2962</v>
      </c>
      <c r="O31" s="2945" t="s">
        <v>2963</v>
      </c>
      <c r="P31" s="2945" t="s">
        <v>2964</v>
      </c>
      <c r="Q31" s="2945" t="s">
        <v>2965</v>
      </c>
      <c r="R31" s="2945" t="s">
        <v>2966</v>
      </c>
    </row>
    <row r="32" spans="1:19" ht="14.25" customHeight="1" thickBot="1">
      <c r="A32" s="2945" t="s">
        <v>296</v>
      </c>
      <c r="B32" s="2946" t="s">
        <v>138</v>
      </c>
      <c r="C32" s="2945">
        <v>27210</v>
      </c>
      <c r="D32" s="2945">
        <v>23240</v>
      </c>
      <c r="E32" s="2945">
        <v>23260</v>
      </c>
      <c r="F32" s="2945">
        <v>7130</v>
      </c>
      <c r="G32" s="2958">
        <v>16270</v>
      </c>
      <c r="L32" s="2945" t="s">
        <v>2967</v>
      </c>
      <c r="M32" s="2945" t="s">
        <v>2968</v>
      </c>
      <c r="N32" s="2945" t="s">
        <v>300</v>
      </c>
      <c r="O32" s="2945" t="s">
        <v>2969</v>
      </c>
      <c r="P32" s="2945" t="s">
        <v>299</v>
      </c>
      <c r="Q32" s="2945" t="s">
        <v>2970</v>
      </c>
      <c r="R32" s="2952" t="s">
        <v>2971</v>
      </c>
    </row>
    <row r="33" spans="1:17" ht="14.25" customHeight="1" thickBot="1">
      <c r="A33" s="2945" t="s">
        <v>296</v>
      </c>
      <c r="B33" s="2946" t="s">
        <v>147</v>
      </c>
      <c r="C33" s="2945">
        <v>27300</v>
      </c>
      <c r="D33" s="2945">
        <v>22980</v>
      </c>
      <c r="E33" s="2945">
        <v>24260</v>
      </c>
      <c r="F33" s="2945">
        <v>5860</v>
      </c>
      <c r="G33" s="2958">
        <v>16090</v>
      </c>
      <c r="L33" s="2952" t="s">
        <v>2972</v>
      </c>
      <c r="M33" s="2945" t="s">
        <v>2973</v>
      </c>
      <c r="N33" s="2945" t="s">
        <v>301</v>
      </c>
      <c r="O33" s="2945" t="s">
        <v>2974</v>
      </c>
      <c r="P33" s="2945" t="s">
        <v>2975</v>
      </c>
      <c r="Q33" s="2945" t="s">
        <v>2976</v>
      </c>
    </row>
    <row r="34" spans="1:17" ht="14.25" customHeight="1">
      <c r="A34" s="2945" t="s">
        <v>296</v>
      </c>
      <c r="B34" s="2946" t="s">
        <v>156</v>
      </c>
      <c r="C34" s="2945">
        <v>23090</v>
      </c>
      <c r="D34" s="2945">
        <v>23390</v>
      </c>
      <c r="E34" s="2945">
        <v>23510</v>
      </c>
      <c r="F34" s="2945">
        <v>6700</v>
      </c>
      <c r="G34" s="2958">
        <v>16370</v>
      </c>
      <c r="M34" s="2945" t="s">
        <v>2977</v>
      </c>
      <c r="N34" s="2945" t="s">
        <v>302</v>
      </c>
      <c r="O34" s="2945" t="s">
        <v>2978</v>
      </c>
      <c r="P34" s="2945" t="s">
        <v>2979</v>
      </c>
      <c r="Q34" s="2945" t="s">
        <v>2980</v>
      </c>
    </row>
    <row r="35" spans="1:17" ht="14.25" customHeight="1">
      <c r="A35" s="2945" t="s">
        <v>296</v>
      </c>
      <c r="B35" s="2946" t="s">
        <v>163</v>
      </c>
      <c r="C35" s="2945">
        <v>27270</v>
      </c>
      <c r="D35" s="2945">
        <v>24270</v>
      </c>
      <c r="E35" s="2945">
        <v>24950</v>
      </c>
      <c r="F35" s="2945">
        <v>6600</v>
      </c>
      <c r="G35" s="2958">
        <v>16990</v>
      </c>
      <c r="M35" s="2945" t="s">
        <v>2981</v>
      </c>
      <c r="N35" s="2945" t="s">
        <v>2982</v>
      </c>
      <c r="O35" s="2945" t="s">
        <v>2983</v>
      </c>
      <c r="P35" s="2945" t="s">
        <v>2984</v>
      </c>
      <c r="Q35" s="2945" t="s">
        <v>2985</v>
      </c>
    </row>
    <row r="36" spans="1:17" ht="14.25" customHeight="1">
      <c r="A36" s="2945" t="s">
        <v>296</v>
      </c>
      <c r="B36" s="2946" t="s">
        <v>169</v>
      </c>
      <c r="C36" s="2945">
        <v>23490</v>
      </c>
      <c r="D36" s="2945">
        <v>23020</v>
      </c>
      <c r="E36" s="2945">
        <v>25230</v>
      </c>
      <c r="F36" s="2945">
        <v>6780</v>
      </c>
      <c r="G36" s="2958">
        <v>16120</v>
      </c>
      <c r="M36" s="2945" t="s">
        <v>2986</v>
      </c>
      <c r="N36" s="2945" t="s">
        <v>2987</v>
      </c>
      <c r="O36" s="2945" t="s">
        <v>2988</v>
      </c>
      <c r="P36" s="2945" t="s">
        <v>2989</v>
      </c>
      <c r="Q36" s="2945" t="s">
        <v>2990</v>
      </c>
    </row>
    <row r="37" spans="1:17" ht="14.25" customHeight="1">
      <c r="A37" s="2945" t="s">
        <v>296</v>
      </c>
      <c r="B37" s="2946" t="s">
        <v>176</v>
      </c>
      <c r="C37" s="2945">
        <v>24380</v>
      </c>
      <c r="D37" s="2945">
        <v>22240</v>
      </c>
      <c r="E37" s="2945">
        <v>25980</v>
      </c>
      <c r="F37" s="2945">
        <v>8160</v>
      </c>
      <c r="G37" s="2958">
        <v>15570</v>
      </c>
      <c r="M37" s="2945" t="s">
        <v>2991</v>
      </c>
      <c r="N37" s="2945" t="s">
        <v>2992</v>
      </c>
      <c r="O37" s="2945" t="s">
        <v>2993</v>
      </c>
      <c r="P37" s="2945" t="s">
        <v>2994</v>
      </c>
      <c r="Q37" s="2945" t="s">
        <v>2995</v>
      </c>
    </row>
    <row r="38" spans="1:17" ht="14.25" customHeight="1">
      <c r="A38" s="2945" t="s">
        <v>296</v>
      </c>
      <c r="B38" s="2946" t="s">
        <v>186</v>
      </c>
      <c r="C38" s="2945">
        <v>23120</v>
      </c>
      <c r="D38" s="2945">
        <v>24630</v>
      </c>
      <c r="E38" s="2945">
        <v>25030</v>
      </c>
      <c r="F38" s="2945">
        <v>7710</v>
      </c>
      <c r="G38" s="2958">
        <v>17240</v>
      </c>
      <c r="M38" s="2945" t="s">
        <v>2996</v>
      </c>
      <c r="N38" s="2945" t="s">
        <v>2997</v>
      </c>
      <c r="O38" s="2945" t="s">
        <v>2998</v>
      </c>
      <c r="P38" s="2945" t="s">
        <v>2999</v>
      </c>
      <c r="Q38" s="2945" t="s">
        <v>3000</v>
      </c>
    </row>
    <row r="39" spans="1:17" ht="14.25" customHeight="1">
      <c r="A39" s="2945" t="s">
        <v>296</v>
      </c>
      <c r="B39" s="2946" t="s">
        <v>195</v>
      </c>
      <c r="C39" s="2945">
        <v>22330</v>
      </c>
      <c r="D39" s="2945">
        <v>21140</v>
      </c>
      <c r="E39" s="2945">
        <v>23970</v>
      </c>
      <c r="F39" s="2945">
        <v>7940</v>
      </c>
      <c r="G39" s="2958">
        <v>14790</v>
      </c>
      <c r="M39" s="2945" t="s">
        <v>3001</v>
      </c>
      <c r="N39" s="2945" t="s">
        <v>3002</v>
      </c>
      <c r="O39" s="2945" t="s">
        <v>3003</v>
      </c>
      <c r="P39" s="2945" t="s">
        <v>3004</v>
      </c>
      <c r="Q39" s="2945" t="s">
        <v>3005</v>
      </c>
    </row>
    <row r="40" spans="1:17" ht="14.25" customHeight="1">
      <c r="A40" s="2945" t="s">
        <v>296</v>
      </c>
      <c r="B40" s="2946" t="s">
        <v>202</v>
      </c>
      <c r="C40" s="2945">
        <v>24740</v>
      </c>
      <c r="D40" s="2945">
        <v>24690</v>
      </c>
      <c r="E40" s="2945">
        <v>22610</v>
      </c>
      <c r="F40" s="2945"/>
      <c r="G40" s="2958">
        <v>17280</v>
      </c>
      <c r="M40" s="2945" t="s">
        <v>3006</v>
      </c>
      <c r="N40" s="2945" t="s">
        <v>3007</v>
      </c>
      <c r="O40" s="2945" t="s">
        <v>3008</v>
      </c>
      <c r="P40" s="2945" t="s">
        <v>3009</v>
      </c>
      <c r="Q40" s="2945" t="s">
        <v>3010</v>
      </c>
    </row>
    <row r="41" spans="1:17" ht="14.25" customHeight="1" thickBot="1">
      <c r="A41" s="2945" t="s">
        <v>296</v>
      </c>
      <c r="B41" s="2946" t="s">
        <v>209</v>
      </c>
      <c r="C41" s="2945">
        <v>21220</v>
      </c>
      <c r="D41" s="2945">
        <v>21120</v>
      </c>
      <c r="E41" s="2945">
        <v>22590</v>
      </c>
      <c r="F41" s="2945"/>
      <c r="G41" s="2958">
        <v>14780</v>
      </c>
      <c r="M41" s="2952" t="s">
        <v>3011</v>
      </c>
      <c r="N41" s="2945" t="s">
        <v>3012</v>
      </c>
      <c r="O41" s="2945" t="s">
        <v>3013</v>
      </c>
      <c r="P41" s="2945" t="s">
        <v>3014</v>
      </c>
      <c r="Q41" s="2945" t="s">
        <v>3015</v>
      </c>
    </row>
    <row r="42" spans="1:17" ht="14.25" customHeight="1">
      <c r="A42" s="2945" t="s">
        <v>296</v>
      </c>
      <c r="B42" s="2946" t="s">
        <v>215</v>
      </c>
      <c r="C42" s="2945">
        <v>24800</v>
      </c>
      <c r="D42" s="2945">
        <v>22280</v>
      </c>
      <c r="E42" s="2945">
        <v>24350</v>
      </c>
      <c r="F42" s="2945"/>
      <c r="G42" s="2958">
        <v>15590</v>
      </c>
      <c r="N42" s="2945" t="s">
        <v>3016</v>
      </c>
      <c r="O42" s="2945" t="s">
        <v>3017</v>
      </c>
      <c r="P42" s="2945" t="s">
        <v>3018</v>
      </c>
      <c r="Q42" s="2945" t="s">
        <v>3019</v>
      </c>
    </row>
    <row r="43" spans="1:17" ht="14.25" customHeight="1">
      <c r="A43" s="2945" t="s">
        <v>3020</v>
      </c>
      <c r="B43" s="2946" t="s">
        <v>223</v>
      </c>
      <c r="C43" s="2945">
        <v>21210</v>
      </c>
      <c r="D43" s="2945">
        <v>21160</v>
      </c>
      <c r="E43" s="2945">
        <v>22650</v>
      </c>
      <c r="F43" s="2945"/>
      <c r="G43" s="2958">
        <v>14800</v>
      </c>
      <c r="N43" s="2945" t="s">
        <v>3021</v>
      </c>
      <c r="O43" s="2945" t="s">
        <v>3022</v>
      </c>
      <c r="P43" s="2945" t="s">
        <v>3023</v>
      </c>
      <c r="Q43" s="2945" t="s">
        <v>3024</v>
      </c>
    </row>
    <row r="44" spans="1:17" ht="14.25" customHeight="1" thickBot="1">
      <c r="A44" s="2945" t="s">
        <v>296</v>
      </c>
      <c r="B44" s="2946" t="s">
        <v>231</v>
      </c>
      <c r="C44" s="2945">
        <v>22370</v>
      </c>
      <c r="D44" s="2945">
        <v>23140</v>
      </c>
      <c r="E44" s="2945">
        <v>25090</v>
      </c>
      <c r="F44" s="2945"/>
      <c r="G44" s="2958">
        <v>16190</v>
      </c>
      <c r="N44" s="2945" t="s">
        <v>3025</v>
      </c>
      <c r="O44" s="2945" t="s">
        <v>3026</v>
      </c>
      <c r="P44" s="2952" t="s">
        <v>3027</v>
      </c>
      <c r="Q44" s="2945" t="s">
        <v>3028</v>
      </c>
    </row>
    <row r="45" spans="1:17" ht="14.25" customHeight="1" thickBot="1">
      <c r="A45" s="2945" t="s">
        <v>296</v>
      </c>
      <c r="B45" s="2946" t="s">
        <v>236</v>
      </c>
      <c r="C45" s="2945">
        <v>21240</v>
      </c>
      <c r="D45" s="2945">
        <v>27050</v>
      </c>
      <c r="E45" s="2945">
        <v>28000</v>
      </c>
      <c r="F45" s="2945"/>
      <c r="G45" s="2958">
        <v>18940</v>
      </c>
      <c r="N45" s="2945" t="s">
        <v>3029</v>
      </c>
      <c r="O45" s="2952" t="s">
        <v>3030</v>
      </c>
      <c r="Q45" s="2945" t="s">
        <v>3031</v>
      </c>
    </row>
    <row r="46" spans="1:17" ht="14.25" customHeight="1">
      <c r="A46" s="2945" t="s">
        <v>296</v>
      </c>
      <c r="B46" s="2946" t="s">
        <v>245</v>
      </c>
      <c r="C46" s="2945">
        <v>23240</v>
      </c>
      <c r="D46" s="2945">
        <v>23000</v>
      </c>
      <c r="E46" s="2945">
        <v>24980</v>
      </c>
      <c r="F46" s="2945"/>
      <c r="G46" s="2958">
        <v>16100</v>
      </c>
      <c r="N46" s="2945" t="s">
        <v>3032</v>
      </c>
      <c r="Q46" s="2945" t="s">
        <v>3033</v>
      </c>
    </row>
    <row r="47" spans="1:17" ht="14.25" customHeight="1">
      <c r="A47" s="2945" t="s">
        <v>296</v>
      </c>
      <c r="B47" s="2946" t="s">
        <v>252</v>
      </c>
      <c r="C47" s="2945">
        <v>27150</v>
      </c>
      <c r="D47" s="2945">
        <v>23310</v>
      </c>
      <c r="E47" s="2945">
        <v>25150</v>
      </c>
      <c r="F47" s="2945"/>
      <c r="G47" s="2958">
        <v>16310</v>
      </c>
      <c r="N47" s="2945" t="s">
        <v>3034</v>
      </c>
      <c r="Q47" s="2945" t="s">
        <v>3035</v>
      </c>
    </row>
    <row r="48" spans="1:17" ht="14.25" customHeight="1">
      <c r="A48" s="2945" t="s">
        <v>296</v>
      </c>
      <c r="B48" s="2946" t="s">
        <v>260</v>
      </c>
      <c r="C48" s="2945">
        <v>23100</v>
      </c>
      <c r="D48" s="2945">
        <v>21110</v>
      </c>
      <c r="E48" s="2945">
        <v>23080</v>
      </c>
      <c r="F48" s="2945"/>
      <c r="G48" s="2958">
        <v>14780</v>
      </c>
      <c r="N48" s="2945" t="s">
        <v>3036</v>
      </c>
      <c r="Q48" s="2945" t="s">
        <v>3037</v>
      </c>
    </row>
    <row r="49" spans="1:17" ht="14.25" customHeight="1">
      <c r="A49" s="2945" t="s">
        <v>296</v>
      </c>
      <c r="B49" s="2946" t="s">
        <v>267</v>
      </c>
      <c r="C49" s="2945">
        <v>23400</v>
      </c>
      <c r="D49" s="2945">
        <v>22920</v>
      </c>
      <c r="E49" s="2945">
        <v>24900</v>
      </c>
      <c r="F49" s="2945"/>
      <c r="G49" s="2958">
        <v>16040</v>
      </c>
      <c r="N49" s="2945" t="s">
        <v>3038</v>
      </c>
      <c r="Q49" s="2945" t="s">
        <v>3039</v>
      </c>
    </row>
    <row r="50" spans="1:17" ht="14.25" customHeight="1">
      <c r="A50" s="2945" t="s">
        <v>296</v>
      </c>
      <c r="B50" s="2946" t="s">
        <v>2916</v>
      </c>
      <c r="C50" s="2945">
        <v>21200</v>
      </c>
      <c r="D50" s="2945">
        <v>26540</v>
      </c>
      <c r="E50" s="2945">
        <v>23200</v>
      </c>
      <c r="F50" s="2945"/>
      <c r="G50" s="2958">
        <v>18580</v>
      </c>
      <c r="N50" s="2945" t="s">
        <v>3040</v>
      </c>
      <c r="Q50" s="2946" t="s">
        <v>3041</v>
      </c>
    </row>
    <row r="51" spans="1:17" ht="14.25" customHeight="1" thickBot="1">
      <c r="A51" s="2945" t="s">
        <v>296</v>
      </c>
      <c r="B51" s="2946" t="s">
        <v>2918</v>
      </c>
      <c r="C51" s="2945">
        <v>23000</v>
      </c>
      <c r="D51" s="2945">
        <v>23460</v>
      </c>
      <c r="E51" s="2945">
        <v>25290</v>
      </c>
      <c r="F51" s="2945"/>
      <c r="G51" s="2958">
        <v>16420</v>
      </c>
      <c r="N51" s="2945" t="s">
        <v>3042</v>
      </c>
      <c r="Q51" s="2952" t="s">
        <v>3043</v>
      </c>
    </row>
    <row r="52" spans="1:17" ht="14.25" customHeight="1">
      <c r="A52" s="2945" t="s">
        <v>296</v>
      </c>
      <c r="B52" s="2946" t="s">
        <v>2922</v>
      </c>
      <c r="C52" s="2945">
        <v>26660</v>
      </c>
      <c r="D52" s="2945">
        <v>22350</v>
      </c>
      <c r="E52" s="2945">
        <v>22920</v>
      </c>
      <c r="F52" s="2945"/>
      <c r="G52" s="2958">
        <v>15640</v>
      </c>
      <c r="N52" s="2945" t="s">
        <v>3044</v>
      </c>
    </row>
    <row r="53" spans="1:17" ht="14.25" customHeight="1">
      <c r="A53" s="2945" t="s">
        <v>296</v>
      </c>
      <c r="B53" s="2946" t="s">
        <v>2927</v>
      </c>
      <c r="C53" s="2945">
        <v>23580</v>
      </c>
      <c r="D53" s="2945"/>
      <c r="E53" s="2945">
        <v>24280</v>
      </c>
      <c r="F53" s="2945"/>
      <c r="G53" s="2958"/>
      <c r="N53" s="2945" t="s">
        <v>3045</v>
      </c>
    </row>
    <row r="54" spans="1:17" ht="14.25" customHeight="1" thickBot="1">
      <c r="A54" s="2959" t="s">
        <v>296</v>
      </c>
      <c r="B54" s="2951" t="s">
        <v>2930</v>
      </c>
      <c r="C54" s="2952">
        <v>22460</v>
      </c>
      <c r="D54" s="2952"/>
      <c r="E54" s="2952"/>
      <c r="F54" s="2952"/>
      <c r="G54" s="2960"/>
      <c r="N54" s="2945" t="s">
        <v>3046</v>
      </c>
    </row>
    <row r="55" spans="1:17" ht="14.25" customHeight="1">
      <c r="A55" s="2950" t="s">
        <v>110</v>
      </c>
      <c r="B55" s="2941" t="s">
        <v>3047</v>
      </c>
      <c r="C55" s="2945">
        <v>21970</v>
      </c>
      <c r="D55" s="2945">
        <v>20370</v>
      </c>
      <c r="E55" s="2945">
        <v>20180</v>
      </c>
      <c r="F55" s="2945">
        <v>5730</v>
      </c>
      <c r="G55" s="2945">
        <v>13820</v>
      </c>
      <c r="N55" s="2945" t="s">
        <v>3048</v>
      </c>
    </row>
    <row r="56" spans="1:17" ht="14.25" customHeight="1">
      <c r="A56" s="2945" t="s">
        <v>110</v>
      </c>
      <c r="B56" s="2945" t="s">
        <v>130</v>
      </c>
      <c r="C56" s="2945">
        <v>20470</v>
      </c>
      <c r="D56" s="2945">
        <v>20700</v>
      </c>
      <c r="E56" s="2945">
        <v>20380</v>
      </c>
      <c r="F56" s="2945">
        <v>4760</v>
      </c>
      <c r="G56" s="2945">
        <v>14050</v>
      </c>
      <c r="N56" s="2945" t="s">
        <v>3049</v>
      </c>
    </row>
    <row r="57" spans="1:17" ht="14.25" customHeight="1">
      <c r="A57" s="2945" t="s">
        <v>110</v>
      </c>
      <c r="B57" s="2945" t="s">
        <v>139</v>
      </c>
      <c r="C57" s="2945">
        <v>20790</v>
      </c>
      <c r="D57" s="2945">
        <v>21370</v>
      </c>
      <c r="E57" s="2945">
        <v>20890</v>
      </c>
      <c r="F57" s="2945">
        <v>4910</v>
      </c>
      <c r="G57" s="2945">
        <v>14510</v>
      </c>
      <c r="N57" s="2945" t="s">
        <v>3050</v>
      </c>
    </row>
    <row r="58" spans="1:17" ht="14.25" customHeight="1">
      <c r="A58" s="2945" t="s">
        <v>110</v>
      </c>
      <c r="B58" s="2945" t="s">
        <v>148</v>
      </c>
      <c r="C58" s="2945">
        <v>21460</v>
      </c>
      <c r="D58" s="2945">
        <v>20920</v>
      </c>
      <c r="E58" s="2945">
        <v>23410</v>
      </c>
      <c r="F58" s="2945">
        <v>5100</v>
      </c>
      <c r="G58" s="2945">
        <v>14200</v>
      </c>
      <c r="N58" s="2945" t="s">
        <v>3051</v>
      </c>
    </row>
    <row r="59" spans="1:17" ht="14.25" customHeight="1">
      <c r="A59" s="2945" t="s">
        <v>110</v>
      </c>
      <c r="B59" s="2945" t="s">
        <v>157</v>
      </c>
      <c r="C59" s="2945">
        <v>21000</v>
      </c>
      <c r="D59" s="2945">
        <v>21550</v>
      </c>
      <c r="E59" s="2945">
        <v>21150</v>
      </c>
      <c r="F59" s="2945">
        <v>5250</v>
      </c>
      <c r="G59" s="2945">
        <v>14630</v>
      </c>
      <c r="N59" s="2945" t="s">
        <v>3052</v>
      </c>
    </row>
    <row r="60" spans="1:17" ht="14.25" customHeight="1">
      <c r="A60" s="2945" t="s">
        <v>110</v>
      </c>
      <c r="B60" s="2945" t="s">
        <v>164</v>
      </c>
      <c r="C60" s="2945">
        <v>21640</v>
      </c>
      <c r="D60" s="2945">
        <v>21260</v>
      </c>
      <c r="E60" s="2945">
        <v>24040</v>
      </c>
      <c r="F60" s="2945">
        <v>4470</v>
      </c>
      <c r="G60" s="2945">
        <v>14430</v>
      </c>
      <c r="N60" s="2945" t="s">
        <v>3053</v>
      </c>
    </row>
    <row r="61" spans="1:17" ht="14.25" customHeight="1">
      <c r="A61" s="2945" t="s">
        <v>110</v>
      </c>
      <c r="B61" s="2945" t="s">
        <v>170</v>
      </c>
      <c r="C61" s="2945">
        <v>21330</v>
      </c>
      <c r="D61" s="2945">
        <v>18640</v>
      </c>
      <c r="E61" s="2945">
        <v>21190</v>
      </c>
      <c r="F61" s="2945">
        <v>4180</v>
      </c>
      <c r="G61" s="2945">
        <v>12650</v>
      </c>
      <c r="N61" s="2945" t="s">
        <v>3054</v>
      </c>
    </row>
    <row r="62" spans="1:17" ht="14.25" customHeight="1">
      <c r="A62" s="2945" t="s">
        <v>110</v>
      </c>
      <c r="B62" s="2945" t="s">
        <v>177</v>
      </c>
      <c r="C62" s="2945">
        <v>18710</v>
      </c>
      <c r="D62" s="2945">
        <v>19400</v>
      </c>
      <c r="E62" s="2945">
        <v>23750</v>
      </c>
      <c r="F62" s="2945">
        <v>4860</v>
      </c>
      <c r="G62" s="2945">
        <v>13170</v>
      </c>
      <c r="N62" s="2945" t="s">
        <v>3055</v>
      </c>
    </row>
    <row r="63" spans="1:17" ht="14.25" customHeight="1">
      <c r="A63" s="2945" t="s">
        <v>110</v>
      </c>
      <c r="B63" s="2945" t="s">
        <v>187</v>
      </c>
      <c r="C63" s="2945">
        <v>19480</v>
      </c>
      <c r="D63" s="2945">
        <v>16830</v>
      </c>
      <c r="E63" s="2945">
        <v>21590</v>
      </c>
      <c r="F63" s="2945">
        <v>4560</v>
      </c>
      <c r="G63" s="2945">
        <v>11420</v>
      </c>
      <c r="N63" s="2945" t="s">
        <v>3056</v>
      </c>
    </row>
    <row r="64" spans="1:17" ht="14.25" customHeight="1" thickBot="1">
      <c r="A64" s="2945" t="s">
        <v>110</v>
      </c>
      <c r="B64" s="2945" t="s">
        <v>196</v>
      </c>
      <c r="C64" s="2945">
        <v>16920</v>
      </c>
      <c r="D64" s="2945">
        <v>19190</v>
      </c>
      <c r="E64" s="2945">
        <v>22200</v>
      </c>
      <c r="F64" s="2945">
        <v>4390</v>
      </c>
      <c r="G64" s="2945">
        <v>13030</v>
      </c>
      <c r="N64" s="2952" t="s">
        <v>3057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2928</v>
      </c>
      <c r="C78" s="2945">
        <v>19820</v>
      </c>
      <c r="D78" s="2945">
        <v>19780</v>
      </c>
      <c r="E78" s="2945">
        <v>18560</v>
      </c>
      <c r="F78" s="2945"/>
      <c r="G78" s="2945">
        <v>13430</v>
      </c>
    </row>
    <row r="79" spans="1:7" s="2779" customFormat="1" ht="14.25" customHeight="1">
      <c r="A79" s="2945" t="s">
        <v>110</v>
      </c>
      <c r="B79" s="2945" t="s">
        <v>2931</v>
      </c>
      <c r="C79" s="2945">
        <v>21660</v>
      </c>
      <c r="D79" s="2945">
        <v>18000</v>
      </c>
      <c r="E79" s="2945">
        <v>22570</v>
      </c>
      <c r="F79" s="2945"/>
      <c r="G79" s="2945">
        <v>12220</v>
      </c>
    </row>
    <row r="80" spans="1:7" s="2779" customFormat="1" ht="14.25" customHeight="1">
      <c r="A80" s="2945" t="s">
        <v>110</v>
      </c>
      <c r="B80" s="2945" t="s">
        <v>2935</v>
      </c>
      <c r="C80" s="2945">
        <v>19850</v>
      </c>
      <c r="D80" s="2945"/>
      <c r="E80" s="2945">
        <v>21700</v>
      </c>
      <c r="F80" s="2945"/>
      <c r="G80" s="2945"/>
    </row>
    <row r="81" spans="1:7" s="2779" customFormat="1" ht="14.25" customHeight="1">
      <c r="A81" s="2945" t="s">
        <v>110</v>
      </c>
      <c r="B81" s="2945" t="s">
        <v>2940</v>
      </c>
      <c r="C81" s="2945">
        <v>18080</v>
      </c>
      <c r="D81" s="2945"/>
      <c r="E81" s="2945">
        <v>20900</v>
      </c>
      <c r="F81" s="2945"/>
      <c r="G81" s="2945"/>
    </row>
    <row r="82" spans="1:7" s="2779" customFormat="1" ht="14.25" customHeight="1">
      <c r="A82" s="2945" t="s">
        <v>110</v>
      </c>
      <c r="B82" s="2945" t="s">
        <v>2947</v>
      </c>
      <c r="C82" s="2945"/>
      <c r="D82" s="2945"/>
      <c r="E82" s="2945">
        <v>20840</v>
      </c>
      <c r="F82" s="2945"/>
      <c r="G82" s="2945"/>
    </row>
    <row r="83" spans="1:7" s="2779" customFormat="1" ht="14.25" customHeight="1">
      <c r="A83" s="2945" t="s">
        <v>110</v>
      </c>
      <c r="B83" s="2945" t="s">
        <v>3058</v>
      </c>
      <c r="C83" s="2945"/>
      <c r="D83" s="2945"/>
      <c r="E83" s="2945"/>
      <c r="F83" s="2945">
        <v>4770</v>
      </c>
      <c r="G83" s="2945"/>
    </row>
    <row r="84" spans="1:7" s="2779" customFormat="1" ht="14.25" customHeight="1">
      <c r="A84" s="2945" t="s">
        <v>110</v>
      </c>
      <c r="B84" s="2945" t="s">
        <v>3059</v>
      </c>
      <c r="C84" s="2945"/>
      <c r="D84" s="2945"/>
      <c r="E84" s="2945"/>
      <c r="F84" s="2945">
        <v>4600</v>
      </c>
      <c r="G84" s="2945"/>
    </row>
    <row r="85" spans="1:7" s="2779" customFormat="1" ht="14.25" customHeight="1">
      <c r="A85" s="2945" t="s">
        <v>110</v>
      </c>
      <c r="B85" s="2945" t="s">
        <v>3060</v>
      </c>
      <c r="C85" s="2945"/>
      <c r="D85" s="2945"/>
      <c r="E85" s="2945"/>
      <c r="F85" s="2945">
        <v>4680</v>
      </c>
      <c r="G85" s="2945"/>
    </row>
    <row r="86" spans="1:7" s="2779" customFormat="1" ht="14.25" customHeight="1" thickBot="1">
      <c r="A86" s="2953" t="s">
        <v>110</v>
      </c>
      <c r="B86" s="2955" t="s">
        <v>3061</v>
      </c>
      <c r="C86" s="2956">
        <v>16610</v>
      </c>
      <c r="D86" s="2956">
        <v>16540</v>
      </c>
      <c r="E86" s="2956">
        <v>18850</v>
      </c>
      <c r="F86" s="2956"/>
      <c r="G86" s="2956">
        <v>11220</v>
      </c>
    </row>
    <row r="87" spans="1:7" s="2779" customFormat="1" ht="14.25" customHeight="1">
      <c r="A87" s="2950" t="s">
        <v>303</v>
      </c>
      <c r="B87" s="2941" t="s">
        <v>3062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2941</v>
      </c>
      <c r="C113" s="2945">
        <v>15520</v>
      </c>
      <c r="D113" s="2945">
        <v>15450</v>
      </c>
      <c r="E113" s="2945"/>
      <c r="F113" s="2945"/>
      <c r="G113" s="2958">
        <v>10210</v>
      </c>
    </row>
    <row r="114" spans="1:7" s="2779" customFormat="1" ht="14.25" customHeight="1">
      <c r="A114" s="2945" t="s">
        <v>303</v>
      </c>
      <c r="B114" s="2945" t="s">
        <v>2948</v>
      </c>
      <c r="C114" s="2945">
        <v>13110</v>
      </c>
      <c r="D114" s="2945">
        <v>13050</v>
      </c>
      <c r="E114" s="2945"/>
      <c r="F114" s="2945"/>
      <c r="G114" s="2958">
        <v>8620</v>
      </c>
    </row>
    <row r="115" spans="1:7" s="2779" customFormat="1" ht="14.25" customHeight="1">
      <c r="A115" s="2945" t="s">
        <v>303</v>
      </c>
      <c r="B115" s="2945" t="s">
        <v>2954</v>
      </c>
      <c r="C115" s="2945">
        <v>12460</v>
      </c>
      <c r="D115" s="2945">
        <v>12390</v>
      </c>
      <c r="E115" s="2945"/>
      <c r="F115" s="2945"/>
      <c r="G115" s="2958">
        <v>8190</v>
      </c>
    </row>
    <row r="116" spans="1:7" s="2779" customFormat="1" ht="14.25" customHeight="1">
      <c r="A116" s="2945" t="s">
        <v>303</v>
      </c>
      <c r="B116" s="2945" t="s">
        <v>2961</v>
      </c>
      <c r="C116" s="2945">
        <v>13580</v>
      </c>
      <c r="D116" s="2945">
        <v>13520</v>
      </c>
      <c r="E116" s="2945"/>
      <c r="F116" s="2945"/>
      <c r="G116" s="2958">
        <v>8930</v>
      </c>
    </row>
    <row r="117" spans="1:7" s="2779" customFormat="1" ht="14.25" customHeight="1">
      <c r="A117" s="2945" t="s">
        <v>303</v>
      </c>
      <c r="B117" s="2945" t="s">
        <v>2968</v>
      </c>
      <c r="C117" s="2945">
        <v>17120</v>
      </c>
      <c r="D117" s="2945">
        <v>17040</v>
      </c>
      <c r="E117" s="2945"/>
      <c r="F117" s="2945"/>
      <c r="G117" s="2958">
        <v>11260</v>
      </c>
    </row>
    <row r="118" spans="1:7" s="2779" customFormat="1" ht="14.25" customHeight="1">
      <c r="A118" s="2945" t="s">
        <v>303</v>
      </c>
      <c r="B118" s="2945" t="s">
        <v>2973</v>
      </c>
      <c r="C118" s="2945">
        <v>14860</v>
      </c>
      <c r="D118" s="2945">
        <v>14790</v>
      </c>
      <c r="E118" s="2945"/>
      <c r="F118" s="2945"/>
      <c r="G118" s="2958">
        <v>9780</v>
      </c>
    </row>
    <row r="119" spans="1:7" s="2779" customFormat="1" ht="14.25" customHeight="1">
      <c r="A119" s="2945" t="s">
        <v>303</v>
      </c>
      <c r="B119" s="2945" t="s">
        <v>2977</v>
      </c>
      <c r="C119" s="2945">
        <v>16470</v>
      </c>
      <c r="D119" s="2945">
        <v>16400</v>
      </c>
      <c r="E119" s="2945"/>
      <c r="F119" s="2945"/>
      <c r="G119" s="2958">
        <v>10840</v>
      </c>
    </row>
    <row r="120" spans="1:7" s="2779" customFormat="1" ht="14.25" customHeight="1">
      <c r="A120" s="2945" t="s">
        <v>303</v>
      </c>
      <c r="B120" s="2945" t="s">
        <v>3063</v>
      </c>
      <c r="C120" s="2945"/>
      <c r="D120" s="2945"/>
      <c r="E120" s="2945"/>
      <c r="F120" s="2945">
        <v>4160</v>
      </c>
      <c r="G120" s="2958"/>
    </row>
    <row r="121" spans="1:7" s="2779" customFormat="1" ht="14.25" customHeight="1">
      <c r="A121" s="2945" t="s">
        <v>303</v>
      </c>
      <c r="B121" s="2945" t="s">
        <v>3064</v>
      </c>
      <c r="C121" s="2945"/>
      <c r="D121" s="2945"/>
      <c r="E121" s="2945"/>
      <c r="F121" s="2945">
        <v>3880</v>
      </c>
      <c r="G121" s="2958"/>
    </row>
    <row r="122" spans="1:7" s="2779" customFormat="1" ht="14.25" customHeight="1">
      <c r="A122" s="2945" t="s">
        <v>303</v>
      </c>
      <c r="B122" s="2945" t="s">
        <v>3065</v>
      </c>
      <c r="C122" s="2945">
        <v>13750</v>
      </c>
      <c r="D122" s="2945">
        <v>13680</v>
      </c>
      <c r="E122" s="2945">
        <v>16460</v>
      </c>
      <c r="F122" s="2945">
        <v>2880</v>
      </c>
      <c r="G122" s="2958">
        <v>9040</v>
      </c>
    </row>
    <row r="123" spans="1:7" s="2779" customFormat="1" ht="14.25" customHeight="1">
      <c r="A123" s="2945" t="s">
        <v>303</v>
      </c>
      <c r="B123" s="2945" t="s">
        <v>2996</v>
      </c>
      <c r="C123" s="2945">
        <v>13590</v>
      </c>
      <c r="D123" s="2945">
        <v>13520</v>
      </c>
      <c r="E123" s="2945">
        <v>16290</v>
      </c>
      <c r="F123" s="2945">
        <v>2790</v>
      </c>
      <c r="G123" s="2958">
        <v>8930</v>
      </c>
    </row>
    <row r="124" spans="1:7" s="2779" customFormat="1" ht="14.25" customHeight="1">
      <c r="A124" s="2945" t="s">
        <v>303</v>
      </c>
      <c r="B124" s="2945" t="s">
        <v>3001</v>
      </c>
      <c r="C124" s="2945">
        <v>13400</v>
      </c>
      <c r="D124" s="2945">
        <v>13320</v>
      </c>
      <c r="E124" s="2945">
        <v>16100</v>
      </c>
      <c r="F124" s="2945">
        <v>2320</v>
      </c>
      <c r="G124" s="2958">
        <v>8800</v>
      </c>
    </row>
    <row r="125" spans="1:7" s="2779" customFormat="1" ht="14.25" customHeight="1">
      <c r="A125" s="2945" t="s">
        <v>303</v>
      </c>
      <c r="B125" s="2945" t="s">
        <v>3006</v>
      </c>
      <c r="C125" s="2945">
        <v>12860</v>
      </c>
      <c r="D125" s="2945">
        <v>12790</v>
      </c>
      <c r="E125" s="2945">
        <v>15370</v>
      </c>
      <c r="F125" s="2945">
        <v>2280</v>
      </c>
      <c r="G125" s="2958">
        <v>8450</v>
      </c>
    </row>
    <row r="126" spans="1:7" s="2779" customFormat="1" ht="14.25" customHeight="1" thickBot="1">
      <c r="A126" s="2959" t="s">
        <v>303</v>
      </c>
      <c r="B126" s="2952" t="s">
        <v>3011</v>
      </c>
      <c r="C126" s="2952">
        <v>12960</v>
      </c>
      <c r="D126" s="2952">
        <v>12890</v>
      </c>
      <c r="E126" s="2952">
        <v>15530</v>
      </c>
      <c r="F126" s="2952">
        <v>2910</v>
      </c>
      <c r="G126" s="2960">
        <v>8520</v>
      </c>
    </row>
    <row r="127" spans="1:7" s="2779" customFormat="1" ht="14.25" customHeight="1">
      <c r="A127" s="2950" t="s">
        <v>29</v>
      </c>
      <c r="B127" s="2941" t="s">
        <v>3066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3067</v>
      </c>
      <c r="C148" s="2945">
        <v>10370</v>
      </c>
      <c r="D148" s="2945">
        <v>10310</v>
      </c>
      <c r="E148" s="2945">
        <v>12970</v>
      </c>
      <c r="F148" s="2945"/>
      <c r="G148" s="2945">
        <v>6630</v>
      </c>
    </row>
    <row r="149" spans="1:7" s="2779" customFormat="1" ht="14.25" customHeight="1">
      <c r="A149" s="2945" t="s">
        <v>29</v>
      </c>
      <c r="B149" s="2945" t="s">
        <v>3068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2942</v>
      </c>
      <c r="C153" s="2945">
        <v>10880</v>
      </c>
      <c r="D153" s="2945">
        <v>10820</v>
      </c>
      <c r="E153" s="2945">
        <v>13660</v>
      </c>
      <c r="F153" s="2945">
        <v>2260</v>
      </c>
      <c r="G153" s="2945">
        <v>6970</v>
      </c>
    </row>
    <row r="154" spans="1:7" s="2779" customFormat="1" ht="14.25" customHeight="1">
      <c r="A154" s="2945" t="s">
        <v>29</v>
      </c>
      <c r="B154" s="2945" t="s">
        <v>3069</v>
      </c>
      <c r="C154" s="2945">
        <v>11220</v>
      </c>
      <c r="D154" s="2945">
        <v>11160</v>
      </c>
      <c r="E154" s="2945">
        <v>14130</v>
      </c>
      <c r="F154" s="2945">
        <v>2230</v>
      </c>
      <c r="G154" s="2945">
        <v>7180</v>
      </c>
    </row>
    <row r="155" spans="1:7" s="2779" customFormat="1" ht="14.25" customHeight="1">
      <c r="A155" s="2945" t="s">
        <v>29</v>
      </c>
      <c r="B155" s="2945" t="s">
        <v>2955</v>
      </c>
      <c r="C155" s="2945">
        <v>10430</v>
      </c>
      <c r="D155" s="2945">
        <v>10380</v>
      </c>
      <c r="E155" s="2945">
        <v>13140</v>
      </c>
      <c r="F155" s="2945">
        <v>2080</v>
      </c>
      <c r="G155" s="2945">
        <v>6650</v>
      </c>
    </row>
    <row r="156" spans="1:7" s="2779" customFormat="1" ht="14.25" customHeight="1">
      <c r="A156" s="2945" t="s">
        <v>29</v>
      </c>
      <c r="B156" s="2945" t="s">
        <v>3070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3071</v>
      </c>
      <c r="C160" s="2945">
        <v>11180</v>
      </c>
      <c r="D160" s="2945">
        <v>11140</v>
      </c>
      <c r="E160" s="2945">
        <v>14050</v>
      </c>
      <c r="F160" s="2945">
        <v>2270</v>
      </c>
      <c r="G160" s="2945">
        <v>7170</v>
      </c>
    </row>
    <row r="161" spans="1:7" s="2779" customFormat="1" ht="14.25" customHeight="1">
      <c r="A161" s="2945" t="s">
        <v>29</v>
      </c>
      <c r="B161" s="2945" t="s">
        <v>2987</v>
      </c>
      <c r="C161" s="2945">
        <v>11160</v>
      </c>
      <c r="D161" s="2945">
        <v>11120</v>
      </c>
      <c r="E161" s="2945">
        <v>14020</v>
      </c>
      <c r="F161" s="2945">
        <v>2150</v>
      </c>
      <c r="G161" s="2945">
        <v>7160</v>
      </c>
    </row>
    <row r="162" spans="1:7" s="2779" customFormat="1" ht="14.25" customHeight="1">
      <c r="A162" s="2945" t="s">
        <v>29</v>
      </c>
      <c r="B162" s="2945" t="s">
        <v>2992</v>
      </c>
      <c r="C162" s="2945">
        <v>9620</v>
      </c>
      <c r="D162" s="2945">
        <v>9570</v>
      </c>
      <c r="E162" s="2945">
        <v>12320</v>
      </c>
      <c r="F162" s="2945">
        <v>2010</v>
      </c>
      <c r="G162" s="2945">
        <v>6160</v>
      </c>
    </row>
    <row r="163" spans="1:7" s="2779" customFormat="1" ht="14.25" customHeight="1">
      <c r="A163" s="2945" t="s">
        <v>29</v>
      </c>
      <c r="B163" s="2945" t="s">
        <v>2997</v>
      </c>
      <c r="C163" s="2945">
        <v>9320</v>
      </c>
      <c r="D163" s="2945">
        <v>9270</v>
      </c>
      <c r="E163" s="2945">
        <v>11790</v>
      </c>
      <c r="F163" s="2945">
        <v>1920</v>
      </c>
      <c r="G163" s="2945">
        <v>5960</v>
      </c>
    </row>
    <row r="164" spans="1:7" s="2779" customFormat="1" ht="14.25" customHeight="1">
      <c r="A164" s="2945" t="s">
        <v>29</v>
      </c>
      <c r="B164" s="2945" t="s">
        <v>3002</v>
      </c>
      <c r="C164" s="2945"/>
      <c r="D164" s="2945"/>
      <c r="E164" s="2945"/>
      <c r="F164" s="2945">
        <v>1980</v>
      </c>
      <c r="G164" s="2945"/>
    </row>
    <row r="165" spans="1:7" s="2779" customFormat="1" ht="14.25" customHeight="1">
      <c r="A165" s="2945" t="s">
        <v>29</v>
      </c>
      <c r="B165" s="2945" t="s">
        <v>3072</v>
      </c>
      <c r="C165" s="2945">
        <v>11060</v>
      </c>
      <c r="D165" s="2945">
        <v>11030</v>
      </c>
      <c r="E165" s="2945">
        <v>13850</v>
      </c>
      <c r="F165" s="2945">
        <v>2170</v>
      </c>
      <c r="G165" s="2945">
        <v>7090</v>
      </c>
    </row>
    <row r="166" spans="1:7" s="2779" customFormat="1" ht="14.25" customHeight="1">
      <c r="A166" s="2945" t="s">
        <v>29</v>
      </c>
      <c r="B166" s="2945" t="s">
        <v>3012</v>
      </c>
      <c r="C166" s="2945">
        <v>11050</v>
      </c>
      <c r="D166" s="2945">
        <v>11010</v>
      </c>
      <c r="E166" s="2945">
        <v>13920</v>
      </c>
      <c r="F166" s="2945">
        <v>2140</v>
      </c>
      <c r="G166" s="2945">
        <v>7080</v>
      </c>
    </row>
    <row r="167" spans="1:7" s="2779" customFormat="1" ht="14.25" customHeight="1">
      <c r="A167" s="2945" t="s">
        <v>29</v>
      </c>
      <c r="B167" s="2945" t="s">
        <v>3016</v>
      </c>
      <c r="C167" s="2945">
        <v>10930</v>
      </c>
      <c r="D167" s="2945">
        <v>10890</v>
      </c>
      <c r="E167" s="2945">
        <v>13790</v>
      </c>
      <c r="F167" s="2945">
        <v>2010</v>
      </c>
      <c r="G167" s="2945">
        <v>7000</v>
      </c>
    </row>
    <row r="168" spans="1:7" s="2779" customFormat="1" ht="14.25" customHeight="1">
      <c r="A168" s="2945" t="s">
        <v>29</v>
      </c>
      <c r="B168" s="2945" t="s">
        <v>3021</v>
      </c>
      <c r="C168" s="2945">
        <v>9420</v>
      </c>
      <c r="D168" s="2945">
        <v>9380</v>
      </c>
      <c r="E168" s="2945">
        <v>11970</v>
      </c>
      <c r="F168" s="2945"/>
      <c r="G168" s="2945">
        <v>6040</v>
      </c>
    </row>
    <row r="169" spans="1:7" s="2779" customFormat="1" ht="14.25" customHeight="1">
      <c r="A169" s="2945" t="s">
        <v>29</v>
      </c>
      <c r="B169" s="2945" t="s">
        <v>3073</v>
      </c>
      <c r="C169" s="2945"/>
      <c r="D169" s="2945"/>
      <c r="E169" s="2945"/>
      <c r="F169" s="2945">
        <v>2880</v>
      </c>
      <c r="G169" s="2945"/>
    </row>
    <row r="170" spans="1:7" s="2779" customFormat="1" ht="14.25" customHeight="1">
      <c r="A170" s="2945" t="s">
        <v>29</v>
      </c>
      <c r="B170" s="2945" t="s">
        <v>3029</v>
      </c>
      <c r="C170" s="2945"/>
      <c r="D170" s="2945"/>
      <c r="E170" s="2945"/>
      <c r="F170" s="2945">
        <v>2880</v>
      </c>
      <c r="G170" s="2945"/>
    </row>
    <row r="171" spans="1:7" s="2779" customFormat="1" ht="14.25" customHeight="1">
      <c r="A171" s="2945" t="s">
        <v>29</v>
      </c>
      <c r="B171" s="2945" t="s">
        <v>3032</v>
      </c>
      <c r="C171" s="2945"/>
      <c r="D171" s="2945"/>
      <c r="E171" s="2945"/>
      <c r="F171" s="2945">
        <v>2880</v>
      </c>
      <c r="G171" s="2945"/>
    </row>
    <row r="172" spans="1:7" s="2779" customFormat="1" ht="14.25" customHeight="1">
      <c r="A172" s="2945" t="s">
        <v>29</v>
      </c>
      <c r="B172" s="2945" t="s">
        <v>3034</v>
      </c>
      <c r="C172" s="2945"/>
      <c r="D172" s="2945"/>
      <c r="E172" s="2945"/>
      <c r="F172" s="2945">
        <v>2880</v>
      </c>
      <c r="G172" s="2945"/>
    </row>
    <row r="173" spans="1:7" s="2779" customFormat="1" ht="14.25" customHeight="1">
      <c r="A173" s="2945" t="s">
        <v>29</v>
      </c>
      <c r="B173" s="2945" t="s">
        <v>3036</v>
      </c>
      <c r="C173" s="2945"/>
      <c r="D173" s="2945"/>
      <c r="E173" s="2945"/>
      <c r="F173" s="2945">
        <v>2150</v>
      </c>
      <c r="G173" s="2945"/>
    </row>
    <row r="174" spans="1:7" s="2779" customFormat="1" ht="14.25" customHeight="1">
      <c r="A174" s="2945" t="s">
        <v>29</v>
      </c>
      <c r="B174" s="2945" t="s">
        <v>3038</v>
      </c>
      <c r="C174" s="2945"/>
      <c r="D174" s="2945"/>
      <c r="E174" s="2945"/>
      <c r="F174" s="2945">
        <v>2030</v>
      </c>
      <c r="G174" s="2945"/>
    </row>
    <row r="175" spans="1:7" s="2779" customFormat="1" ht="14.25" customHeight="1">
      <c r="A175" s="2945" t="s">
        <v>29</v>
      </c>
      <c r="B175" s="2945" t="s">
        <v>3040</v>
      </c>
      <c r="C175" s="2945"/>
      <c r="D175" s="2945"/>
      <c r="E175" s="2945"/>
      <c r="F175" s="2945">
        <v>2780</v>
      </c>
      <c r="G175" s="2945"/>
    </row>
    <row r="176" spans="1:7" s="2779" customFormat="1" ht="14.25" customHeight="1">
      <c r="A176" s="2945" t="s">
        <v>29</v>
      </c>
      <c r="B176" s="2945" t="s">
        <v>3042</v>
      </c>
      <c r="C176" s="2945"/>
      <c r="D176" s="2945"/>
      <c r="E176" s="2945"/>
      <c r="F176" s="2945">
        <v>2780</v>
      </c>
      <c r="G176" s="2945"/>
    </row>
    <row r="177" spans="1:7" s="2779" customFormat="1" ht="14.25" customHeight="1">
      <c r="A177" s="2945" t="s">
        <v>29</v>
      </c>
      <c r="B177" s="2945" t="s">
        <v>3074</v>
      </c>
      <c r="C177" s="2945"/>
      <c r="D177" s="2945"/>
      <c r="E177" s="2945"/>
      <c r="F177" s="2945">
        <v>2780</v>
      </c>
      <c r="G177" s="2945"/>
    </row>
    <row r="178" spans="1:7" s="2779" customFormat="1" ht="14.25" customHeight="1">
      <c r="A178" s="2945" t="s">
        <v>29</v>
      </c>
      <c r="B178" s="2945" t="s">
        <v>3075</v>
      </c>
      <c r="C178" s="2945"/>
      <c r="D178" s="2945"/>
      <c r="E178" s="2945"/>
      <c r="F178" s="2945">
        <v>2060</v>
      </c>
      <c r="G178" s="2945"/>
    </row>
    <row r="179" spans="1:7" s="2779" customFormat="1" ht="14.25" customHeight="1">
      <c r="A179" s="2945" t="s">
        <v>29</v>
      </c>
      <c r="B179" s="2945" t="s">
        <v>3076</v>
      </c>
      <c r="C179" s="2945"/>
      <c r="D179" s="2945"/>
      <c r="E179" s="2945"/>
      <c r="F179" s="2945">
        <v>2120</v>
      </c>
      <c r="G179" s="2945"/>
    </row>
    <row r="180" spans="1:7" s="2779" customFormat="1" ht="14.25" customHeight="1">
      <c r="A180" s="2945" t="s">
        <v>29</v>
      </c>
      <c r="B180" s="2945" t="s">
        <v>3048</v>
      </c>
      <c r="C180" s="2945"/>
      <c r="D180" s="2945"/>
      <c r="E180" s="2945"/>
      <c r="F180" s="2945">
        <v>2340</v>
      </c>
      <c r="G180" s="2945"/>
    </row>
    <row r="181" spans="1:7" s="2779" customFormat="1" ht="14.25" customHeight="1">
      <c r="A181" s="2945" t="s">
        <v>29</v>
      </c>
      <c r="B181" s="2945" t="s">
        <v>3049</v>
      </c>
      <c r="C181" s="2945"/>
      <c r="D181" s="2945"/>
      <c r="E181" s="2945"/>
      <c r="F181" s="2945">
        <v>2340</v>
      </c>
      <c r="G181" s="2945"/>
    </row>
    <row r="182" spans="1:7" s="2779" customFormat="1" ht="14.25" customHeight="1">
      <c r="A182" s="2945" t="s">
        <v>29</v>
      </c>
      <c r="B182" s="2945" t="s">
        <v>3050</v>
      </c>
      <c r="C182" s="2945"/>
      <c r="D182" s="2945"/>
      <c r="E182" s="2945"/>
      <c r="F182" s="2945">
        <v>2340</v>
      </c>
      <c r="G182" s="2945"/>
    </row>
    <row r="183" spans="1:7" s="2779" customFormat="1" ht="14.25" customHeight="1">
      <c r="A183" s="2945" t="s">
        <v>29</v>
      </c>
      <c r="B183" s="2945" t="s">
        <v>3051</v>
      </c>
      <c r="C183" s="2945"/>
      <c r="D183" s="2945"/>
      <c r="E183" s="2945"/>
      <c r="F183" s="2945">
        <v>2340</v>
      </c>
      <c r="G183" s="2945"/>
    </row>
    <row r="184" spans="1:7" s="2779" customFormat="1" ht="14.25" customHeight="1">
      <c r="A184" s="2945" t="s">
        <v>29</v>
      </c>
      <c r="B184" s="2945" t="s">
        <v>3052</v>
      </c>
      <c r="C184" s="2945"/>
      <c r="D184" s="2945"/>
      <c r="E184" s="2945"/>
      <c r="F184" s="2945">
        <v>2340</v>
      </c>
      <c r="G184" s="2945"/>
    </row>
    <row r="185" spans="1:7" s="2779" customFormat="1" ht="14.25" customHeight="1">
      <c r="A185" s="2945" t="s">
        <v>29</v>
      </c>
      <c r="B185" s="2945" t="s">
        <v>3053</v>
      </c>
      <c r="C185" s="2945"/>
      <c r="D185" s="2945"/>
      <c r="E185" s="2945"/>
      <c r="F185" s="2945">
        <v>2530</v>
      </c>
      <c r="G185" s="2945"/>
    </row>
    <row r="186" spans="1:7" s="2779" customFormat="1" ht="14.25" customHeight="1">
      <c r="A186" s="2945" t="s">
        <v>29</v>
      </c>
      <c r="B186" s="2945" t="s">
        <v>3054</v>
      </c>
      <c r="C186" s="2945"/>
      <c r="D186" s="2945"/>
      <c r="E186" s="2945"/>
      <c r="F186" s="2945">
        <v>2550</v>
      </c>
      <c r="G186" s="2945"/>
    </row>
    <row r="187" spans="1:7" s="2779" customFormat="1" ht="14.25" customHeight="1">
      <c r="A187" s="2945" t="s">
        <v>29</v>
      </c>
      <c r="B187" s="2945" t="s">
        <v>3055</v>
      </c>
      <c r="C187" s="2945"/>
      <c r="D187" s="2945"/>
      <c r="E187" s="2945"/>
      <c r="F187" s="2945">
        <v>2070</v>
      </c>
      <c r="G187" s="2945"/>
    </row>
    <row r="188" spans="1:7" s="2779" customFormat="1" ht="14.25" customHeight="1">
      <c r="A188" s="2945" t="s">
        <v>29</v>
      </c>
      <c r="B188" s="2945" t="s">
        <v>3056</v>
      </c>
      <c r="C188" s="2945"/>
      <c r="D188" s="2945"/>
      <c r="E188" s="2945"/>
      <c r="F188" s="2945">
        <v>2340</v>
      </c>
      <c r="G188" s="2945"/>
    </row>
    <row r="189" spans="1:7" s="2779" customFormat="1" ht="14.25" customHeight="1" thickBot="1">
      <c r="A189" s="2953" t="s">
        <v>29</v>
      </c>
      <c r="B189" s="2956" t="s">
        <v>3057</v>
      </c>
      <c r="C189" s="2956"/>
      <c r="D189" s="2956"/>
      <c r="E189" s="2956"/>
      <c r="F189" s="2956">
        <v>2050</v>
      </c>
      <c r="G189" s="2956"/>
    </row>
    <row r="190" spans="1:7" s="2779" customFormat="1" ht="14.25" customHeight="1">
      <c r="A190" s="2950" t="s">
        <v>304</v>
      </c>
      <c r="B190" s="2941" t="s">
        <v>3077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3078</v>
      </c>
      <c r="C199" s="2945">
        <v>8690</v>
      </c>
      <c r="D199" s="2945">
        <v>8630</v>
      </c>
      <c r="E199" s="2945">
        <v>11350</v>
      </c>
      <c r="F199" s="2945">
        <v>1600</v>
      </c>
      <c r="G199" s="2958">
        <v>5450</v>
      </c>
    </row>
    <row r="200" spans="1:7" s="2779" customFormat="1" ht="14.25" customHeight="1">
      <c r="A200" s="2945" t="s">
        <v>304</v>
      </c>
      <c r="B200" s="2945" t="s">
        <v>2889</v>
      </c>
      <c r="C200" s="2945"/>
      <c r="D200" s="2945"/>
      <c r="E200" s="2945"/>
      <c r="F200" s="2945">
        <v>1510</v>
      </c>
      <c r="G200" s="2958"/>
    </row>
    <row r="201" spans="1:7" s="2779" customFormat="1" ht="14.25" customHeight="1">
      <c r="A201" s="2945" t="s">
        <v>304</v>
      </c>
      <c r="B201" s="2945" t="s">
        <v>3079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3080</v>
      </c>
      <c r="C203" s="2945">
        <v>8130</v>
      </c>
      <c r="D203" s="2945">
        <v>8070</v>
      </c>
      <c r="E203" s="2945">
        <v>10820</v>
      </c>
      <c r="F203" s="2945">
        <v>1690</v>
      </c>
      <c r="G203" s="2958">
        <v>5100</v>
      </c>
    </row>
    <row r="204" spans="1:7" s="2779" customFormat="1" ht="14.25" customHeight="1">
      <c r="A204" s="2945" t="s">
        <v>304</v>
      </c>
      <c r="B204" s="2945" t="s">
        <v>2900</v>
      </c>
      <c r="C204" s="2945">
        <v>8350</v>
      </c>
      <c r="D204" s="2945">
        <v>8290</v>
      </c>
      <c r="E204" s="2945">
        <v>11080</v>
      </c>
      <c r="F204" s="2945">
        <v>1450</v>
      </c>
      <c r="G204" s="2958">
        <v>5240</v>
      </c>
    </row>
    <row r="205" spans="1:7" s="2779" customFormat="1" ht="14.25" customHeight="1">
      <c r="A205" s="2945" t="s">
        <v>304</v>
      </c>
      <c r="B205" s="2945" t="s">
        <v>2902</v>
      </c>
      <c r="C205" s="2945">
        <v>7190</v>
      </c>
      <c r="D205" s="2945">
        <v>7130</v>
      </c>
      <c r="E205" s="2945">
        <v>9490</v>
      </c>
      <c r="F205" s="2945">
        <v>1470</v>
      </c>
      <c r="G205" s="2958">
        <v>4510</v>
      </c>
    </row>
    <row r="206" spans="1:7" s="2779" customFormat="1" ht="14.25" customHeight="1">
      <c r="A206" s="2945" t="s">
        <v>304</v>
      </c>
      <c r="B206" s="2945" t="s">
        <v>2905</v>
      </c>
      <c r="C206" s="2945">
        <v>7000</v>
      </c>
      <c r="D206" s="2945">
        <v>6950</v>
      </c>
      <c r="E206" s="2945">
        <v>9170</v>
      </c>
      <c r="F206" s="2945">
        <v>1400</v>
      </c>
      <c r="G206" s="2958">
        <v>4380</v>
      </c>
    </row>
    <row r="207" spans="1:7" s="2779" customFormat="1" ht="14.25" customHeight="1">
      <c r="A207" s="2945" t="s">
        <v>304</v>
      </c>
      <c r="B207" s="2945" t="s">
        <v>2907</v>
      </c>
      <c r="C207" s="2945">
        <v>6950</v>
      </c>
      <c r="D207" s="2945">
        <v>6900</v>
      </c>
      <c r="E207" s="2945">
        <v>9110</v>
      </c>
      <c r="F207" s="2945">
        <v>1790</v>
      </c>
      <c r="G207" s="2958">
        <v>4360</v>
      </c>
    </row>
    <row r="208" spans="1:7" s="2779" customFormat="1" ht="14.25" customHeight="1">
      <c r="A208" s="2945" t="s">
        <v>304</v>
      </c>
      <c r="B208" s="2945" t="s">
        <v>3081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2917</v>
      </c>
      <c r="C210" s="2945">
        <v>8710</v>
      </c>
      <c r="D210" s="2945">
        <v>8660</v>
      </c>
      <c r="E210" s="2945">
        <v>11440</v>
      </c>
      <c r="F210" s="2945">
        <v>1740</v>
      </c>
      <c r="G210" s="2958">
        <v>5470</v>
      </c>
    </row>
    <row r="211" spans="1:7" s="2779" customFormat="1" ht="14.25" customHeight="1">
      <c r="A211" s="2945" t="s">
        <v>304</v>
      </c>
      <c r="B211" s="2945" t="s">
        <v>3082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3083</v>
      </c>
      <c r="C214" s="2945">
        <v>8090</v>
      </c>
      <c r="D214" s="2945">
        <v>8030</v>
      </c>
      <c r="E214" s="2945">
        <v>10780</v>
      </c>
      <c r="F214" s="2945">
        <v>1570</v>
      </c>
      <c r="G214" s="2958">
        <v>5070</v>
      </c>
    </row>
    <row r="215" spans="1:7" s="2779" customFormat="1" ht="14.25" customHeight="1">
      <c r="A215" s="2945" t="s">
        <v>304</v>
      </c>
      <c r="B215" s="2945" t="s">
        <v>3084</v>
      </c>
      <c r="C215" s="2945">
        <v>7950</v>
      </c>
      <c r="D215" s="2945">
        <v>7900</v>
      </c>
      <c r="E215" s="2945">
        <v>10560</v>
      </c>
      <c r="F215" s="2945">
        <v>1630</v>
      </c>
      <c r="G215" s="2958">
        <v>4990</v>
      </c>
    </row>
    <row r="216" spans="1:7" s="2779" customFormat="1" ht="14.25" customHeight="1">
      <c r="A216" s="2945" t="s">
        <v>304</v>
      </c>
      <c r="B216" s="2945" t="s">
        <v>3085</v>
      </c>
      <c r="C216" s="2945">
        <v>8490</v>
      </c>
      <c r="D216" s="2945">
        <v>8440</v>
      </c>
      <c r="E216" s="2945">
        <v>11260</v>
      </c>
      <c r="F216" s="2945">
        <v>1690</v>
      </c>
      <c r="G216" s="2958">
        <v>5330</v>
      </c>
    </row>
    <row r="217" spans="1:7" s="2779" customFormat="1" ht="14.25" customHeight="1">
      <c r="A217" s="2945" t="s">
        <v>304</v>
      </c>
      <c r="B217" s="2945" t="s">
        <v>2950</v>
      </c>
      <c r="C217" s="2945">
        <v>8200</v>
      </c>
      <c r="D217" s="2945">
        <v>8150</v>
      </c>
      <c r="E217" s="2945">
        <v>10910</v>
      </c>
      <c r="F217" s="2945">
        <v>1670</v>
      </c>
      <c r="G217" s="2958">
        <v>5150</v>
      </c>
    </row>
    <row r="218" spans="1:7" s="2779" customFormat="1" ht="14.25" customHeight="1">
      <c r="A218" s="2945" t="s">
        <v>304</v>
      </c>
      <c r="B218" s="2945" t="s">
        <v>3086</v>
      </c>
      <c r="C218" s="2945"/>
      <c r="D218" s="2945"/>
      <c r="E218" s="2945"/>
      <c r="F218" s="2945">
        <v>2040</v>
      </c>
      <c r="G218" s="2958"/>
    </row>
    <row r="219" spans="1:7" s="2779" customFormat="1" ht="14.25" customHeight="1">
      <c r="A219" s="2945" t="s">
        <v>304</v>
      </c>
      <c r="B219" s="2945" t="s">
        <v>3087</v>
      </c>
      <c r="C219" s="2945"/>
      <c r="D219" s="2945"/>
      <c r="E219" s="2945"/>
      <c r="F219" s="2945">
        <v>2040</v>
      </c>
      <c r="G219" s="2958"/>
    </row>
    <row r="220" spans="1:7" s="2779" customFormat="1" ht="14.25" customHeight="1">
      <c r="A220" s="2945" t="s">
        <v>304</v>
      </c>
      <c r="B220" s="2945" t="s">
        <v>3088</v>
      </c>
      <c r="C220" s="2945"/>
      <c r="D220" s="2945"/>
      <c r="E220" s="2945"/>
      <c r="F220" s="2945">
        <v>2040</v>
      </c>
      <c r="G220" s="2958"/>
    </row>
    <row r="221" spans="1:7" s="2779" customFormat="1" ht="14.25" customHeight="1">
      <c r="A221" s="2945" t="s">
        <v>304</v>
      </c>
      <c r="B221" s="2945" t="s">
        <v>3089</v>
      </c>
      <c r="C221" s="2945"/>
      <c r="D221" s="2945"/>
      <c r="E221" s="2945"/>
      <c r="F221" s="2945">
        <v>2040</v>
      </c>
      <c r="G221" s="2958"/>
    </row>
    <row r="222" spans="1:7" s="2779" customFormat="1" ht="14.25" customHeight="1">
      <c r="A222" s="2945" t="s">
        <v>304</v>
      </c>
      <c r="B222" s="2945" t="s">
        <v>3090</v>
      </c>
      <c r="C222" s="2945"/>
      <c r="D222" s="2945"/>
      <c r="E222" s="2945"/>
      <c r="F222" s="2945">
        <v>2040</v>
      </c>
      <c r="G222" s="2958"/>
    </row>
    <row r="223" spans="1:7" s="2779" customFormat="1" ht="14.25" customHeight="1">
      <c r="A223" s="2945" t="s">
        <v>304</v>
      </c>
      <c r="B223" s="2945" t="s">
        <v>3091</v>
      </c>
      <c r="C223" s="2945"/>
      <c r="D223" s="2945"/>
      <c r="E223" s="2945"/>
      <c r="F223" s="2945">
        <v>1930</v>
      </c>
      <c r="G223" s="2958"/>
    </row>
    <row r="224" spans="1:7" s="2779" customFormat="1" ht="14.25" customHeight="1">
      <c r="A224" s="2945" t="s">
        <v>304</v>
      </c>
      <c r="B224" s="2945" t="s">
        <v>3092</v>
      </c>
      <c r="C224" s="2945"/>
      <c r="D224" s="2945"/>
      <c r="E224" s="2945"/>
      <c r="F224" s="2945">
        <v>1930</v>
      </c>
      <c r="G224" s="2958"/>
    </row>
    <row r="225" spans="1:7" s="2779" customFormat="1" ht="14.25" customHeight="1">
      <c r="A225" s="2945" t="s">
        <v>304</v>
      </c>
      <c r="B225" s="2945" t="s">
        <v>3093</v>
      </c>
      <c r="C225" s="2945"/>
      <c r="D225" s="2945"/>
      <c r="E225" s="2945"/>
      <c r="F225" s="2945">
        <v>1930</v>
      </c>
      <c r="G225" s="2958"/>
    </row>
    <row r="226" spans="1:7" s="2779" customFormat="1" ht="14.25" customHeight="1">
      <c r="A226" s="2945" t="s">
        <v>304</v>
      </c>
      <c r="B226" s="2945" t="s">
        <v>3094</v>
      </c>
      <c r="C226" s="2945"/>
      <c r="D226" s="2945"/>
      <c r="E226" s="2945"/>
      <c r="F226" s="2945">
        <v>1700</v>
      </c>
      <c r="G226" s="2958"/>
    </row>
    <row r="227" spans="1:7" s="2779" customFormat="1" ht="14.25" customHeight="1">
      <c r="A227" s="2945" t="s">
        <v>304</v>
      </c>
      <c r="B227" s="2945" t="s">
        <v>3095</v>
      </c>
      <c r="C227" s="2945"/>
      <c r="D227" s="2945"/>
      <c r="E227" s="2945"/>
      <c r="F227" s="2945">
        <v>1520</v>
      </c>
      <c r="G227" s="2958"/>
    </row>
    <row r="228" spans="1:7" s="2779" customFormat="1" ht="14.25" customHeight="1">
      <c r="A228" s="2945" t="s">
        <v>304</v>
      </c>
      <c r="B228" s="2945" t="s">
        <v>3096</v>
      </c>
      <c r="C228" s="2945"/>
      <c r="D228" s="2945"/>
      <c r="E228" s="2945"/>
      <c r="F228" s="2945">
        <v>1520</v>
      </c>
      <c r="G228" s="2958"/>
    </row>
    <row r="229" spans="1:7" s="2779" customFormat="1" ht="14.25" customHeight="1">
      <c r="A229" s="2945" t="s">
        <v>304</v>
      </c>
      <c r="B229" s="2945" t="s">
        <v>3013</v>
      </c>
      <c r="C229" s="2945"/>
      <c r="D229" s="2945"/>
      <c r="E229" s="2945"/>
      <c r="F229" s="2945">
        <v>1520</v>
      </c>
      <c r="G229" s="2958"/>
    </row>
    <row r="230" spans="1:7" s="2779" customFormat="1" ht="14.25" customHeight="1">
      <c r="A230" s="2945" t="s">
        <v>304</v>
      </c>
      <c r="B230" s="2945" t="s">
        <v>3097</v>
      </c>
      <c r="C230" s="2945"/>
      <c r="D230" s="2945"/>
      <c r="E230" s="2945"/>
      <c r="F230" s="2945">
        <v>1820</v>
      </c>
      <c r="G230" s="2958"/>
    </row>
    <row r="231" spans="1:7" s="2779" customFormat="1" ht="14.25" customHeight="1">
      <c r="A231" s="2945" t="s">
        <v>304</v>
      </c>
      <c r="B231" s="2945" t="s">
        <v>3098</v>
      </c>
      <c r="C231" s="2945"/>
      <c r="D231" s="2945"/>
      <c r="E231" s="2945"/>
      <c r="F231" s="2945">
        <v>1760</v>
      </c>
      <c r="G231" s="2958"/>
    </row>
    <row r="232" spans="1:7" s="2779" customFormat="1" ht="14.25" customHeight="1">
      <c r="A232" s="2945" t="s">
        <v>304</v>
      </c>
      <c r="B232" s="2945" t="s">
        <v>3099</v>
      </c>
      <c r="C232" s="2945"/>
      <c r="D232" s="2945"/>
      <c r="E232" s="2945"/>
      <c r="F232" s="2945">
        <v>1840</v>
      </c>
      <c r="G232" s="2958"/>
    </row>
    <row r="233" spans="1:7" s="2779" customFormat="1" ht="14.25" customHeight="1" thickBot="1">
      <c r="A233" s="2959" t="s">
        <v>304</v>
      </c>
      <c r="B233" s="2952" t="s">
        <v>3030</v>
      </c>
      <c r="C233" s="2952"/>
      <c r="D233" s="2952"/>
      <c r="E233" s="2952"/>
      <c r="F233" s="2952">
        <v>1770</v>
      </c>
      <c r="G233" s="2960"/>
    </row>
    <row r="234" spans="1:7" s="2779" customFormat="1" ht="14.25" customHeight="1">
      <c r="A234" s="2950" t="s">
        <v>305</v>
      </c>
      <c r="B234" s="2941" t="s">
        <v>3100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2871</v>
      </c>
      <c r="C238" s="2945">
        <v>6920</v>
      </c>
      <c r="D238" s="2945">
        <v>6890</v>
      </c>
      <c r="E238" s="2945">
        <v>8640</v>
      </c>
      <c r="F238" s="2945">
        <v>1310</v>
      </c>
      <c r="G238" s="2945">
        <v>4230</v>
      </c>
    </row>
    <row r="239" spans="1:7" s="2779" customFormat="1" ht="14.25" customHeight="1">
      <c r="A239" s="2945" t="s">
        <v>305</v>
      </c>
      <c r="B239" s="2945" t="s">
        <v>3101</v>
      </c>
      <c r="C239" s="2945">
        <v>6780</v>
      </c>
      <c r="D239" s="2945">
        <v>6750</v>
      </c>
      <c r="E239" s="2945">
        <v>8440</v>
      </c>
      <c r="F239" s="2945">
        <v>1160</v>
      </c>
      <c r="G239" s="2945">
        <v>4140</v>
      </c>
    </row>
    <row r="240" spans="1:7" s="2779" customFormat="1" ht="14.25" customHeight="1">
      <c r="A240" s="2945" t="s">
        <v>305</v>
      </c>
      <c r="B240" s="2945" t="s">
        <v>3102</v>
      </c>
      <c r="C240" s="2945">
        <v>5420</v>
      </c>
      <c r="D240" s="2945">
        <v>5380</v>
      </c>
      <c r="E240" s="2945">
        <v>6640</v>
      </c>
      <c r="F240" s="2945">
        <v>1020</v>
      </c>
      <c r="G240" s="2945">
        <v>3300</v>
      </c>
    </row>
    <row r="241" spans="1:7" s="2779" customFormat="1" ht="14.25" customHeight="1">
      <c r="A241" s="2945" t="s">
        <v>305</v>
      </c>
      <c r="B241" s="2945" t="s">
        <v>3103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2933</v>
      </c>
      <c r="C258" s="2945">
        <v>6190</v>
      </c>
      <c r="D258" s="2945">
        <v>6160</v>
      </c>
      <c r="E258" s="2945">
        <v>7680</v>
      </c>
      <c r="F258" s="2945">
        <v>1170</v>
      </c>
      <c r="G258" s="2945">
        <v>3780</v>
      </c>
    </row>
    <row r="259" spans="1:7" s="2779" customFormat="1" ht="14.25" customHeight="1">
      <c r="A259" s="2945" t="s">
        <v>305</v>
      </c>
      <c r="B259" s="2945" t="s">
        <v>3109</v>
      </c>
      <c r="C259" s="2945">
        <v>7610</v>
      </c>
      <c r="D259" s="2945">
        <v>7570</v>
      </c>
      <c r="E259" s="2945">
        <v>9350</v>
      </c>
      <c r="F259" s="2945">
        <v>1350</v>
      </c>
      <c r="G259" s="2945">
        <v>4650</v>
      </c>
    </row>
    <row r="260" spans="1:7" s="2779" customFormat="1" ht="14.25" customHeight="1">
      <c r="A260" s="2945" t="s">
        <v>305</v>
      </c>
      <c r="B260" s="2945" t="s">
        <v>3110</v>
      </c>
      <c r="C260" s="2945">
        <v>6920</v>
      </c>
      <c r="D260" s="2945">
        <v>6880</v>
      </c>
      <c r="E260" s="2945">
        <v>8380</v>
      </c>
      <c r="F260" s="2945">
        <v>1160</v>
      </c>
      <c r="G260" s="2945">
        <v>4220</v>
      </c>
    </row>
    <row r="261" spans="1:7" s="2779" customFormat="1" ht="14.25" customHeight="1">
      <c r="A261" s="2945" t="s">
        <v>305</v>
      </c>
      <c r="B261" s="2945" t="s">
        <v>3111</v>
      </c>
      <c r="C261" s="2945">
        <v>6850</v>
      </c>
      <c r="D261" s="2945">
        <v>6810</v>
      </c>
      <c r="E261" s="2945">
        <v>8290</v>
      </c>
      <c r="F261" s="2945">
        <v>1130</v>
      </c>
      <c r="G261" s="2945">
        <v>4180</v>
      </c>
    </row>
    <row r="262" spans="1:7" s="2779" customFormat="1" ht="14.25" customHeight="1">
      <c r="A262" s="2945" t="s">
        <v>305</v>
      </c>
      <c r="B262" s="2945" t="s">
        <v>3112</v>
      </c>
      <c r="C262" s="2945">
        <v>5860</v>
      </c>
      <c r="D262" s="2945">
        <v>5820</v>
      </c>
      <c r="E262" s="2945">
        <v>7640</v>
      </c>
      <c r="F262" s="2945">
        <v>1070</v>
      </c>
      <c r="G262" s="2945">
        <v>3570</v>
      </c>
    </row>
    <row r="263" spans="1:7" s="2779" customFormat="1" ht="14.25" customHeight="1">
      <c r="A263" s="2945" t="s">
        <v>305</v>
      </c>
      <c r="B263" s="2945" t="s">
        <v>3113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3114</v>
      </c>
      <c r="C265" s="2945"/>
      <c r="D265" s="2945"/>
      <c r="E265" s="2945"/>
      <c r="F265" s="2945">
        <v>1500</v>
      </c>
      <c r="G265" s="2945"/>
    </row>
    <row r="266" spans="1:7" s="2779" customFormat="1" ht="14.25" customHeight="1">
      <c r="A266" s="2945" t="s">
        <v>305</v>
      </c>
      <c r="B266" s="2945" t="s">
        <v>3115</v>
      </c>
      <c r="C266" s="2945"/>
      <c r="D266" s="2945"/>
      <c r="E266" s="2945"/>
      <c r="F266" s="2945">
        <v>1500</v>
      </c>
      <c r="G266" s="2945"/>
    </row>
    <row r="267" spans="1:7" s="2779" customFormat="1" ht="14.25" customHeight="1">
      <c r="A267" s="2945" t="s">
        <v>305</v>
      </c>
      <c r="B267" s="2945" t="s">
        <v>3116</v>
      </c>
      <c r="C267" s="2945"/>
      <c r="D267" s="2945"/>
      <c r="E267" s="2945"/>
      <c r="F267" s="2945">
        <v>1500</v>
      </c>
      <c r="G267" s="2945"/>
    </row>
    <row r="268" spans="1:7" s="2779" customFormat="1" ht="14.25" customHeight="1">
      <c r="A268" s="2945" t="s">
        <v>305</v>
      </c>
      <c r="B268" s="2945" t="s">
        <v>3117</v>
      </c>
      <c r="C268" s="2945"/>
      <c r="D268" s="2945"/>
      <c r="E268" s="2945"/>
      <c r="F268" s="2945">
        <v>1290</v>
      </c>
      <c r="G268" s="2945"/>
    </row>
    <row r="269" spans="1:7" s="2779" customFormat="1" ht="14.25" customHeight="1">
      <c r="A269" s="2945" t="s">
        <v>305</v>
      </c>
      <c r="B269" s="2945" t="s">
        <v>3118</v>
      </c>
      <c r="C269" s="2945"/>
      <c r="D269" s="2945"/>
      <c r="E269" s="2945"/>
      <c r="F269" s="2945">
        <v>1150</v>
      </c>
      <c r="G269" s="2945"/>
    </row>
    <row r="270" spans="1:7" s="2779" customFormat="1" ht="14.25" customHeight="1">
      <c r="A270" s="2945" t="s">
        <v>305</v>
      </c>
      <c r="B270" s="2945" t="s">
        <v>3119</v>
      </c>
      <c r="C270" s="2945"/>
      <c r="D270" s="2945"/>
      <c r="E270" s="2945"/>
      <c r="F270" s="2945">
        <v>1380</v>
      </c>
      <c r="G270" s="2945"/>
    </row>
    <row r="271" spans="1:7" s="2779" customFormat="1" ht="14.25" customHeight="1">
      <c r="A271" s="2945" t="s">
        <v>305</v>
      </c>
      <c r="B271" s="2945" t="s">
        <v>3120</v>
      </c>
      <c r="C271" s="2945"/>
      <c r="D271" s="2945"/>
      <c r="E271" s="2945"/>
      <c r="F271" s="2945">
        <v>1460</v>
      </c>
      <c r="G271" s="2945"/>
    </row>
    <row r="272" spans="1:7" s="2779" customFormat="1" ht="14.25" customHeight="1">
      <c r="A272" s="2945" t="s">
        <v>305</v>
      </c>
      <c r="B272" s="2945" t="s">
        <v>3121</v>
      </c>
      <c r="C272" s="2945"/>
      <c r="D272" s="2945"/>
      <c r="E272" s="2945"/>
      <c r="F272" s="2945">
        <v>1460</v>
      </c>
      <c r="G272" s="2945"/>
    </row>
    <row r="273" spans="1:7" s="2779" customFormat="1" ht="14.25" customHeight="1">
      <c r="A273" s="2945" t="s">
        <v>305</v>
      </c>
      <c r="B273" s="2945" t="s">
        <v>3014</v>
      </c>
      <c r="C273" s="2945"/>
      <c r="D273" s="2945"/>
      <c r="E273" s="2945"/>
      <c r="F273" s="2945">
        <v>1490</v>
      </c>
      <c r="G273" s="2945"/>
    </row>
    <row r="274" spans="1:7" s="2779" customFormat="1" ht="14.25" customHeight="1">
      <c r="A274" s="2945" t="s">
        <v>305</v>
      </c>
      <c r="B274" s="2945" t="s">
        <v>3122</v>
      </c>
      <c r="C274" s="2945"/>
      <c r="D274" s="2945"/>
      <c r="E274" s="2945"/>
      <c r="F274" s="2945">
        <v>1490</v>
      </c>
      <c r="G274" s="2945"/>
    </row>
    <row r="275" spans="1:7" s="2779" customFormat="1" ht="14.25" customHeight="1">
      <c r="A275" s="2945" t="s">
        <v>305</v>
      </c>
      <c r="B275" s="2945" t="s">
        <v>3123</v>
      </c>
      <c r="C275" s="2945"/>
      <c r="D275" s="2945"/>
      <c r="E275" s="2945"/>
      <c r="F275" s="2945">
        <v>1220</v>
      </c>
      <c r="G275" s="2945"/>
    </row>
    <row r="276" spans="1:7" s="2779" customFormat="1" ht="14.25" customHeight="1" thickBot="1">
      <c r="A276" s="2953" t="s">
        <v>305</v>
      </c>
      <c r="B276" s="2955" t="s">
        <v>3124</v>
      </c>
      <c r="C276" s="2956"/>
      <c r="D276" s="2956"/>
      <c r="E276" s="2956"/>
      <c r="F276" s="2956">
        <v>1380</v>
      </c>
      <c r="G276" s="2956"/>
    </row>
    <row r="277" spans="1:7" s="2779" customFormat="1" ht="14.25" customHeight="1">
      <c r="A277" s="2950" t="s">
        <v>306</v>
      </c>
      <c r="B277" s="2941" t="s">
        <v>3125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3126</v>
      </c>
      <c r="C279" s="2945">
        <v>4760</v>
      </c>
      <c r="D279" s="2945">
        <v>4720</v>
      </c>
      <c r="E279" s="2945">
        <v>5540</v>
      </c>
      <c r="F279" s="2945">
        <v>810</v>
      </c>
      <c r="G279" s="2958">
        <v>2850</v>
      </c>
    </row>
    <row r="280" spans="1:7" s="2779" customFormat="1" ht="14.25" customHeight="1">
      <c r="A280" s="2945" t="s">
        <v>306</v>
      </c>
      <c r="B280" s="2945" t="s">
        <v>3127</v>
      </c>
      <c r="C280" s="2945">
        <v>4010</v>
      </c>
      <c r="D280" s="2945">
        <v>3950</v>
      </c>
      <c r="E280" s="2945">
        <v>4710</v>
      </c>
      <c r="F280" s="2945">
        <v>800</v>
      </c>
      <c r="G280" s="2958">
        <v>2390</v>
      </c>
    </row>
    <row r="281" spans="1:7" s="2779" customFormat="1" ht="14.25" customHeight="1">
      <c r="A281" s="2945" t="s">
        <v>306</v>
      </c>
      <c r="B281" s="2945" t="s">
        <v>3128</v>
      </c>
      <c r="C281" s="2945">
        <v>4480</v>
      </c>
      <c r="D281" s="2945">
        <v>4420</v>
      </c>
      <c r="E281" s="2945">
        <v>5230</v>
      </c>
      <c r="F281" s="2945">
        <v>870</v>
      </c>
      <c r="G281" s="2958">
        <v>2660</v>
      </c>
    </row>
    <row r="282" spans="1:7" s="2779" customFormat="1" ht="14.25" customHeight="1">
      <c r="A282" s="2945" t="s">
        <v>306</v>
      </c>
      <c r="B282" s="2945" t="s">
        <v>3129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2906</v>
      </c>
      <c r="C293" s="2945">
        <v>5320</v>
      </c>
      <c r="D293" s="2945">
        <v>5270</v>
      </c>
      <c r="E293" s="2945">
        <v>6160</v>
      </c>
      <c r="F293" s="2945">
        <v>990</v>
      </c>
      <c r="G293" s="2958">
        <v>3170</v>
      </c>
    </row>
    <row r="294" spans="1:7" s="2779" customFormat="1" ht="14.25" customHeight="1">
      <c r="A294" s="2945" t="s">
        <v>306</v>
      </c>
      <c r="B294" s="2945" t="s">
        <v>3132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3133</v>
      </c>
      <c r="C302" s="2945">
        <v>5520</v>
      </c>
      <c r="D302" s="2945">
        <v>5470</v>
      </c>
      <c r="E302" s="2945">
        <v>6410</v>
      </c>
      <c r="F302" s="2945">
        <v>950</v>
      </c>
      <c r="G302" s="2958">
        <v>3300</v>
      </c>
    </row>
    <row r="303" spans="1:7" s="2779" customFormat="1" ht="14.25" customHeight="1">
      <c r="A303" s="2945" t="s">
        <v>306</v>
      </c>
      <c r="B303" s="2945" t="s">
        <v>2945</v>
      </c>
      <c r="C303" s="2945">
        <v>5630</v>
      </c>
      <c r="D303" s="2945">
        <v>5590</v>
      </c>
      <c r="E303" s="2945">
        <v>6550</v>
      </c>
      <c r="F303" s="2945">
        <v>1010</v>
      </c>
      <c r="G303" s="2958">
        <v>3370</v>
      </c>
    </row>
    <row r="304" spans="1:7" s="2779" customFormat="1" ht="14.25" customHeight="1">
      <c r="A304" s="2945" t="s">
        <v>306</v>
      </c>
      <c r="B304" s="2945" t="s">
        <v>2952</v>
      </c>
      <c r="C304" s="2945">
        <v>5680</v>
      </c>
      <c r="D304" s="2945">
        <v>5620</v>
      </c>
      <c r="E304" s="2945">
        <v>6620</v>
      </c>
      <c r="F304" s="2945">
        <v>1050</v>
      </c>
      <c r="G304" s="2958">
        <v>3390</v>
      </c>
    </row>
    <row r="305" spans="1:7" s="2779" customFormat="1" ht="14.25" customHeight="1">
      <c r="A305" s="2945" t="s">
        <v>306</v>
      </c>
      <c r="B305" s="2945" t="s">
        <v>2958</v>
      </c>
      <c r="C305" s="2945">
        <v>5590</v>
      </c>
      <c r="D305" s="2945">
        <v>5530</v>
      </c>
      <c r="E305" s="2945">
        <v>6460</v>
      </c>
      <c r="F305" s="2945">
        <v>900</v>
      </c>
      <c r="G305" s="2958">
        <v>3340</v>
      </c>
    </row>
    <row r="306" spans="1:7" s="2779" customFormat="1" ht="14.25" customHeight="1">
      <c r="A306" s="2945" t="s">
        <v>306</v>
      </c>
      <c r="B306" s="2945" t="s">
        <v>3134</v>
      </c>
      <c r="C306" s="2945">
        <v>5560</v>
      </c>
      <c r="D306" s="2945">
        <v>5510</v>
      </c>
      <c r="E306" s="2945">
        <v>6440</v>
      </c>
      <c r="F306" s="2945">
        <v>900</v>
      </c>
      <c r="G306" s="2958">
        <v>3320</v>
      </c>
    </row>
    <row r="307" spans="1:7" s="2779" customFormat="1" ht="14.25" customHeight="1">
      <c r="A307" s="2945" t="s">
        <v>306</v>
      </c>
      <c r="B307" s="2945" t="s">
        <v>2970</v>
      </c>
      <c r="C307" s="2945">
        <v>5650</v>
      </c>
      <c r="D307" s="2945">
        <v>5600</v>
      </c>
      <c r="E307" s="2945">
        <v>6590</v>
      </c>
      <c r="F307" s="2945">
        <v>930</v>
      </c>
      <c r="G307" s="2958">
        <v>3380</v>
      </c>
    </row>
    <row r="308" spans="1:7" s="2779" customFormat="1" ht="14.25" customHeight="1">
      <c r="A308" s="2945" t="s">
        <v>306</v>
      </c>
      <c r="B308" s="2945" t="s">
        <v>3135</v>
      </c>
      <c r="C308" s="2945">
        <v>5620</v>
      </c>
      <c r="D308" s="2945">
        <v>5580</v>
      </c>
      <c r="E308" s="2945">
        <v>6540</v>
      </c>
      <c r="F308" s="2945">
        <v>910</v>
      </c>
      <c r="G308" s="2958">
        <v>3370</v>
      </c>
    </row>
    <row r="309" spans="1:7" s="2779" customFormat="1" ht="14.25" customHeight="1">
      <c r="A309" s="2945" t="s">
        <v>306</v>
      </c>
      <c r="B309" s="2945" t="s">
        <v>3136</v>
      </c>
      <c r="C309" s="2945">
        <v>5060</v>
      </c>
      <c r="D309" s="2945">
        <v>5020</v>
      </c>
      <c r="E309" s="2945">
        <v>6370</v>
      </c>
      <c r="F309" s="2945">
        <v>800</v>
      </c>
      <c r="G309" s="2958">
        <v>3020</v>
      </c>
    </row>
    <row r="310" spans="1:7" s="2779" customFormat="1" ht="14.25" customHeight="1">
      <c r="A310" s="2945" t="s">
        <v>306</v>
      </c>
      <c r="B310" s="2945" t="s">
        <v>2985</v>
      </c>
      <c r="C310" s="2945">
        <v>5150</v>
      </c>
      <c r="D310" s="2945">
        <v>5110</v>
      </c>
      <c r="E310" s="2945">
        <v>6500</v>
      </c>
      <c r="F310" s="2945">
        <v>880</v>
      </c>
      <c r="G310" s="2958">
        <v>3080</v>
      </c>
    </row>
    <row r="311" spans="1:7" s="2779" customFormat="1" ht="14.25" customHeight="1">
      <c r="A311" s="2945" t="s">
        <v>306</v>
      </c>
      <c r="B311" s="2945" t="s">
        <v>3137</v>
      </c>
      <c r="C311" s="2945">
        <v>4750</v>
      </c>
      <c r="D311" s="2945">
        <v>4710</v>
      </c>
      <c r="E311" s="2945">
        <v>5510</v>
      </c>
      <c r="F311" s="2945">
        <v>880</v>
      </c>
      <c r="G311" s="2958">
        <v>2840</v>
      </c>
    </row>
    <row r="312" spans="1:7" s="2779" customFormat="1" ht="14.25" customHeight="1">
      <c r="A312" s="2945" t="s">
        <v>306</v>
      </c>
      <c r="B312" s="2945" t="s">
        <v>2995</v>
      </c>
      <c r="C312" s="2945">
        <v>4690</v>
      </c>
      <c r="D312" s="2945">
        <v>4640</v>
      </c>
      <c r="E312" s="2945">
        <v>5420</v>
      </c>
      <c r="F312" s="2945">
        <v>800</v>
      </c>
      <c r="G312" s="2958">
        <v>2800</v>
      </c>
    </row>
    <row r="313" spans="1:7" s="2779" customFormat="1" ht="14.25" customHeight="1">
      <c r="A313" s="2945" t="s">
        <v>306</v>
      </c>
      <c r="B313" s="2945" t="s">
        <v>3000</v>
      </c>
      <c r="C313" s="2945">
        <v>4810</v>
      </c>
      <c r="D313" s="2945">
        <v>4760</v>
      </c>
      <c r="E313" s="2945">
        <v>5550</v>
      </c>
      <c r="F313" s="2945">
        <v>920</v>
      </c>
      <c r="G313" s="2958">
        <v>2870</v>
      </c>
    </row>
    <row r="314" spans="1:7" s="2779" customFormat="1" ht="14.25" customHeight="1">
      <c r="A314" s="2945" t="s">
        <v>306</v>
      </c>
      <c r="B314" s="2945" t="s">
        <v>3138</v>
      </c>
      <c r="C314" s="2945"/>
      <c r="D314" s="2945"/>
      <c r="E314" s="2945"/>
      <c r="F314" s="2945">
        <v>1020</v>
      </c>
      <c r="G314" s="2958"/>
    </row>
    <row r="315" spans="1:7" s="2779" customFormat="1" ht="14.25" customHeight="1">
      <c r="A315" s="2945" t="s">
        <v>306</v>
      </c>
      <c r="B315" s="2945" t="s">
        <v>3139</v>
      </c>
      <c r="C315" s="2945"/>
      <c r="D315" s="2945"/>
      <c r="E315" s="2945"/>
      <c r="F315" s="2945">
        <v>1050</v>
      </c>
      <c r="G315" s="2958"/>
    </row>
    <row r="316" spans="1:7" s="2779" customFormat="1" ht="14.25" customHeight="1">
      <c r="A316" s="2945" t="s">
        <v>306</v>
      </c>
      <c r="B316" s="2945" t="s">
        <v>3015</v>
      </c>
      <c r="C316" s="2945"/>
      <c r="D316" s="2945"/>
      <c r="E316" s="2945"/>
      <c r="F316" s="2945">
        <v>900</v>
      </c>
      <c r="G316" s="2958"/>
    </row>
    <row r="317" spans="1:7" s="2779" customFormat="1" ht="14.25" customHeight="1">
      <c r="A317" s="2945" t="s">
        <v>306</v>
      </c>
      <c r="B317" s="2945" t="s">
        <v>3140</v>
      </c>
      <c r="C317" s="2945"/>
      <c r="D317" s="2945"/>
      <c r="E317" s="2945"/>
      <c r="F317" s="2945">
        <v>920</v>
      </c>
      <c r="G317" s="2958"/>
    </row>
    <row r="318" spans="1:7" s="2779" customFormat="1" ht="14.25" customHeight="1">
      <c r="A318" s="2945" t="s">
        <v>306</v>
      </c>
      <c r="B318" s="2945" t="s">
        <v>3141</v>
      </c>
      <c r="C318" s="2945"/>
      <c r="D318" s="2945"/>
      <c r="E318" s="2945"/>
      <c r="F318" s="2945">
        <v>1080</v>
      </c>
      <c r="G318" s="2958"/>
    </row>
    <row r="319" spans="1:7" s="2779" customFormat="1" ht="14.25" customHeight="1">
      <c r="A319" s="2945" t="s">
        <v>306</v>
      </c>
      <c r="B319" s="2945" t="s">
        <v>3028</v>
      </c>
      <c r="C319" s="2945"/>
      <c r="D319" s="2945"/>
      <c r="E319" s="2945"/>
      <c r="F319" s="2945">
        <v>1020</v>
      </c>
      <c r="G319" s="2958"/>
    </row>
    <row r="320" spans="1:7" s="2779" customFormat="1" ht="14.25" customHeight="1">
      <c r="A320" s="2945" t="s">
        <v>306</v>
      </c>
      <c r="B320" s="2945" t="s">
        <v>3031</v>
      </c>
      <c r="C320" s="2945"/>
      <c r="D320" s="2945"/>
      <c r="E320" s="2945"/>
      <c r="F320" s="2945">
        <v>1050</v>
      </c>
      <c r="G320" s="2958"/>
    </row>
    <row r="321" spans="1:7" s="2779" customFormat="1" ht="14.25" customHeight="1">
      <c r="A321" s="2945" t="s">
        <v>306</v>
      </c>
      <c r="B321" s="2945" t="s">
        <v>3033</v>
      </c>
      <c r="C321" s="2945"/>
      <c r="D321" s="2945"/>
      <c r="E321" s="2945"/>
      <c r="F321" s="2945">
        <v>960</v>
      </c>
      <c r="G321" s="2958"/>
    </row>
    <row r="322" spans="1:7" s="2779" customFormat="1" ht="14.25" customHeight="1">
      <c r="A322" s="2945" t="s">
        <v>306</v>
      </c>
      <c r="B322" s="2945" t="s">
        <v>3035</v>
      </c>
      <c r="C322" s="2945"/>
      <c r="D322" s="2945"/>
      <c r="E322" s="2945"/>
      <c r="F322" s="2945">
        <v>960</v>
      </c>
      <c r="G322" s="2958"/>
    </row>
    <row r="323" spans="1:7" s="2779" customFormat="1" ht="14.25" customHeight="1">
      <c r="A323" s="2945" t="s">
        <v>306</v>
      </c>
      <c r="B323" s="2945" t="s">
        <v>3037</v>
      </c>
      <c r="C323" s="2945"/>
      <c r="D323" s="2945"/>
      <c r="E323" s="2945"/>
      <c r="F323" s="2945">
        <v>880</v>
      </c>
      <c r="G323" s="2958"/>
    </row>
    <row r="324" spans="1:7" s="2779" customFormat="1" ht="14.25" customHeight="1">
      <c r="A324" s="2945" t="s">
        <v>306</v>
      </c>
      <c r="B324" s="2945" t="s">
        <v>3039</v>
      </c>
      <c r="C324" s="2945"/>
      <c r="D324" s="2945"/>
      <c r="E324" s="2945"/>
      <c r="F324" s="2945">
        <v>930</v>
      </c>
      <c r="G324" s="2958"/>
    </row>
    <row r="325" spans="1:7" s="2779" customFormat="1" ht="14.25" customHeight="1">
      <c r="A325" s="2945" t="s">
        <v>306</v>
      </c>
      <c r="B325" s="2946" t="s">
        <v>3041</v>
      </c>
      <c r="C325" s="2945"/>
      <c r="D325" s="2945"/>
      <c r="E325" s="2945"/>
      <c r="F325" s="2945">
        <v>900</v>
      </c>
      <c r="G325" s="2958"/>
    </row>
    <row r="326" spans="1:7" s="2779" customFormat="1" ht="14.25" customHeight="1" thickBot="1">
      <c r="A326" s="2959" t="s">
        <v>306</v>
      </c>
      <c r="B326" s="2952" t="s">
        <v>3043</v>
      </c>
      <c r="C326" s="2952"/>
      <c r="D326" s="2952"/>
      <c r="E326" s="2952"/>
      <c r="F326" s="2952">
        <v>790</v>
      </c>
      <c r="G326" s="2960"/>
    </row>
    <row r="327" spans="1:7" s="2779" customFormat="1" ht="14.25" customHeight="1">
      <c r="A327" s="2950" t="s">
        <v>307</v>
      </c>
      <c r="B327" s="2941" t="s">
        <v>3142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3143</v>
      </c>
      <c r="C329" s="2945">
        <v>2730</v>
      </c>
      <c r="D329" s="2945">
        <v>2690</v>
      </c>
      <c r="E329" s="2945">
        <v>3100</v>
      </c>
      <c r="F329" s="2945">
        <v>660</v>
      </c>
      <c r="G329" s="2945">
        <v>1610</v>
      </c>
    </row>
    <row r="330" spans="1:7" s="2779" customFormat="1" ht="14.25" customHeight="1">
      <c r="A330" s="2945" t="s">
        <v>307</v>
      </c>
      <c r="B330" s="2945" t="s">
        <v>3144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2877</v>
      </c>
      <c r="C332" s="2945">
        <v>3520</v>
      </c>
      <c r="D332" s="2945">
        <v>3480</v>
      </c>
      <c r="E332" s="2945">
        <v>3830</v>
      </c>
      <c r="F332" s="2945">
        <v>720</v>
      </c>
      <c r="G332" s="2945">
        <v>2090</v>
      </c>
    </row>
    <row r="333" spans="1:7" s="2779" customFormat="1" ht="14.25" customHeight="1">
      <c r="A333" s="2945" t="s">
        <v>307</v>
      </c>
      <c r="B333" s="2945" t="s">
        <v>3145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2887</v>
      </c>
      <c r="C336" s="2945">
        <v>3570</v>
      </c>
      <c r="D336" s="2945">
        <v>3530</v>
      </c>
      <c r="E336" s="2945">
        <v>3880</v>
      </c>
      <c r="F336" s="2945">
        <v>770</v>
      </c>
      <c r="G336" s="2945">
        <v>2110</v>
      </c>
    </row>
    <row r="337" spans="1:10" s="2779" customFormat="1" ht="14.25" customHeight="1">
      <c r="A337" s="2945" t="s">
        <v>307</v>
      </c>
      <c r="B337" s="2945" t="s">
        <v>3146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2912</v>
      </c>
      <c r="C345" s="2945">
        <v>3190</v>
      </c>
      <c r="D345" s="2945">
        <v>3140</v>
      </c>
      <c r="E345" s="2945">
        <v>3450</v>
      </c>
      <c r="F345" s="2945">
        <v>720</v>
      </c>
      <c r="G345" s="2945">
        <v>1880</v>
      </c>
      <c r="J345" s="2779"/>
    </row>
    <row r="346" spans="1:10">
      <c r="A346" s="2945" t="s">
        <v>307</v>
      </c>
      <c r="B346" s="2945" t="s">
        <v>3149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2921</v>
      </c>
      <c r="C348" s="2945">
        <v>4000</v>
      </c>
      <c r="D348" s="2945">
        <v>3950</v>
      </c>
      <c r="E348" s="2945">
        <v>4430</v>
      </c>
      <c r="F348" s="2945">
        <v>760</v>
      </c>
      <c r="G348" s="2945">
        <v>2360</v>
      </c>
      <c r="J348" s="2779"/>
    </row>
    <row r="349" spans="1:10">
      <c r="A349" s="2945" t="s">
        <v>307</v>
      </c>
      <c r="B349" s="2945" t="s">
        <v>2926</v>
      </c>
      <c r="C349" s="2945">
        <v>3820</v>
      </c>
      <c r="D349" s="2945">
        <v>3780</v>
      </c>
      <c r="E349" s="2945">
        <v>4170</v>
      </c>
      <c r="F349" s="2945">
        <v>710</v>
      </c>
      <c r="G349" s="2945">
        <v>2260</v>
      </c>
      <c r="J349" s="2779"/>
    </row>
    <row r="350" spans="1:10">
      <c r="A350" s="2945" t="s">
        <v>307</v>
      </c>
      <c r="B350" s="2945" t="s">
        <v>3150</v>
      </c>
      <c r="C350" s="2945">
        <v>3760</v>
      </c>
      <c r="D350" s="2945">
        <v>3730</v>
      </c>
      <c r="E350" s="2945">
        <v>4100</v>
      </c>
      <c r="F350" s="2945">
        <v>800</v>
      </c>
      <c r="G350" s="2945">
        <v>2230</v>
      </c>
      <c r="J350" s="2779"/>
    </row>
    <row r="351" spans="1:10">
      <c r="A351" s="2945" t="s">
        <v>307</v>
      </c>
      <c r="B351" s="2945" t="s">
        <v>2934</v>
      </c>
      <c r="C351" s="2945">
        <v>3610</v>
      </c>
      <c r="D351" s="2945">
        <v>3580</v>
      </c>
      <c r="E351" s="2945">
        <v>3930</v>
      </c>
      <c r="F351" s="2945">
        <v>700</v>
      </c>
      <c r="G351" s="2945">
        <v>2140</v>
      </c>
      <c r="J351" s="2779"/>
    </row>
    <row r="352" spans="1:10">
      <c r="A352" s="2945" t="s">
        <v>307</v>
      </c>
      <c r="B352" s="2945" t="s">
        <v>2939</v>
      </c>
      <c r="C352" s="2945">
        <v>3670</v>
      </c>
      <c r="D352" s="2945">
        <v>3630</v>
      </c>
      <c r="E352" s="2945">
        <v>4000</v>
      </c>
      <c r="F352" s="2945">
        <v>750</v>
      </c>
      <c r="G352" s="2945">
        <v>2180</v>
      </c>
    </row>
    <row r="353" spans="1:7" s="2780" customFormat="1">
      <c r="A353" s="2945" t="s">
        <v>307</v>
      </c>
      <c r="B353" s="2945" t="s">
        <v>3151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2959</v>
      </c>
      <c r="C355" s="2945">
        <v>3650</v>
      </c>
      <c r="D355" s="2945">
        <v>3610</v>
      </c>
      <c r="E355" s="2945">
        <v>4200</v>
      </c>
      <c r="F355" s="2945">
        <v>640</v>
      </c>
      <c r="G355" s="2945">
        <v>2160</v>
      </c>
    </row>
    <row r="356" spans="1:7" s="2780" customFormat="1">
      <c r="A356" s="2945" t="s">
        <v>307</v>
      </c>
      <c r="B356" s="2945" t="s">
        <v>2966</v>
      </c>
      <c r="C356" s="2945">
        <v>3260</v>
      </c>
      <c r="D356" s="2945">
        <v>3230</v>
      </c>
      <c r="E356" s="2945">
        <v>3740</v>
      </c>
      <c r="F356" s="2945">
        <v>600</v>
      </c>
      <c r="G356" s="2945">
        <v>1930</v>
      </c>
    </row>
    <row r="357" spans="1:7" s="2780" customFormat="1" ht="12" thickBot="1">
      <c r="A357" s="2953" t="s">
        <v>307</v>
      </c>
      <c r="B357" s="2956" t="s">
        <v>3152</v>
      </c>
      <c r="C357" s="2956">
        <v>3690</v>
      </c>
      <c r="D357" s="2956">
        <v>3650</v>
      </c>
      <c r="E357" s="2956">
        <v>4020</v>
      </c>
      <c r="F357" s="2956">
        <v>700</v>
      </c>
      <c r="G357" s="2956">
        <v>2190</v>
      </c>
    </row>
    <row r="358" spans="1:7" s="2780" customFormat="1">
      <c r="A358" s="2950" t="s">
        <v>3153</v>
      </c>
      <c r="B358" s="2941" t="s">
        <v>3154</v>
      </c>
      <c r="C358" s="2941">
        <v>2080</v>
      </c>
      <c r="D358" s="2941">
        <v>2040</v>
      </c>
      <c r="E358" s="2941">
        <v>2010</v>
      </c>
      <c r="F358" s="2941">
        <v>530</v>
      </c>
      <c r="G358" s="2957">
        <v>1230</v>
      </c>
    </row>
    <row r="359" spans="1:7" s="2780" customFormat="1">
      <c r="A359" s="2945" t="s">
        <v>3153</v>
      </c>
      <c r="B359" s="2945" t="s">
        <v>3155</v>
      </c>
      <c r="C359" s="2945">
        <v>1850</v>
      </c>
      <c r="D359" s="2945">
        <v>1820</v>
      </c>
      <c r="E359" s="2945">
        <v>1780</v>
      </c>
      <c r="F359" s="2945">
        <v>520</v>
      </c>
      <c r="G359" s="2958">
        <v>1100</v>
      </c>
    </row>
    <row r="360" spans="1:7" s="2780" customFormat="1">
      <c r="A360" s="2945" t="s">
        <v>3153</v>
      </c>
      <c r="B360" s="2945" t="s">
        <v>3156</v>
      </c>
      <c r="C360" s="2945">
        <v>2020</v>
      </c>
      <c r="D360" s="2945">
        <v>1990</v>
      </c>
      <c r="E360" s="2945">
        <v>1950</v>
      </c>
      <c r="F360" s="2945">
        <v>500</v>
      </c>
      <c r="G360" s="2958">
        <v>1200</v>
      </c>
    </row>
    <row r="361" spans="1:7" s="2780" customFormat="1">
      <c r="A361" s="2945" t="s">
        <v>3153</v>
      </c>
      <c r="B361" s="2945" t="s">
        <v>153</v>
      </c>
      <c r="C361" s="2945">
        <v>2260</v>
      </c>
      <c r="D361" s="2945">
        <v>2220</v>
      </c>
      <c r="E361" s="2945">
        <v>2180</v>
      </c>
      <c r="F361" s="2945">
        <v>580</v>
      </c>
      <c r="G361" s="2958">
        <v>1340</v>
      </c>
    </row>
    <row r="362" spans="1:7" s="2780" customFormat="1">
      <c r="A362" s="2945" t="s">
        <v>3153</v>
      </c>
      <c r="B362" s="2945" t="s">
        <v>3157</v>
      </c>
      <c r="C362" s="2945">
        <v>2650</v>
      </c>
      <c r="D362" s="2945">
        <v>2610</v>
      </c>
      <c r="E362" s="2945">
        <v>2570</v>
      </c>
      <c r="F362" s="2945">
        <v>630</v>
      </c>
      <c r="G362" s="2958">
        <v>1570</v>
      </c>
    </row>
    <row r="363" spans="1:7" s="2780" customFormat="1">
      <c r="A363" s="2945" t="s">
        <v>3153</v>
      </c>
      <c r="B363" s="2945" t="s">
        <v>2878</v>
      </c>
      <c r="C363" s="2945">
        <v>2390</v>
      </c>
      <c r="D363" s="2945">
        <v>2360</v>
      </c>
      <c r="E363" s="2945">
        <v>2320</v>
      </c>
      <c r="F363" s="2945">
        <v>600</v>
      </c>
      <c r="G363" s="2958">
        <v>1420</v>
      </c>
    </row>
    <row r="364" spans="1:7" s="2780" customFormat="1">
      <c r="A364" s="2945" t="s">
        <v>3153</v>
      </c>
      <c r="B364" s="2945" t="s">
        <v>3158</v>
      </c>
      <c r="C364" s="2945">
        <v>2050</v>
      </c>
      <c r="D364" s="2945">
        <v>2030</v>
      </c>
      <c r="E364" s="2945">
        <v>1990</v>
      </c>
      <c r="F364" s="2945">
        <v>550</v>
      </c>
      <c r="G364" s="2958">
        <v>1220</v>
      </c>
    </row>
    <row r="365" spans="1:7" s="2780" customFormat="1">
      <c r="A365" s="2945" t="s">
        <v>3153</v>
      </c>
      <c r="B365" s="2945" t="s">
        <v>200</v>
      </c>
      <c r="C365" s="2945">
        <v>2140</v>
      </c>
      <c r="D365" s="2945">
        <v>2100</v>
      </c>
      <c r="E365" s="2945">
        <v>2060</v>
      </c>
      <c r="F365" s="2945">
        <v>540</v>
      </c>
      <c r="G365" s="2958">
        <v>1270</v>
      </c>
    </row>
    <row r="366" spans="1:7" s="2780" customFormat="1">
      <c r="A366" s="2945" t="s">
        <v>3153</v>
      </c>
      <c r="B366" s="2945" t="s">
        <v>2885</v>
      </c>
      <c r="C366" s="2945">
        <v>2410</v>
      </c>
      <c r="D366" s="2945">
        <v>2370</v>
      </c>
      <c r="E366" s="2945">
        <v>2330</v>
      </c>
      <c r="F366" s="2945">
        <v>570</v>
      </c>
      <c r="G366" s="2958">
        <v>1440</v>
      </c>
    </row>
    <row r="367" spans="1:7" s="2780" customFormat="1">
      <c r="A367" s="2945" t="s">
        <v>3153</v>
      </c>
      <c r="B367" s="2945" t="s">
        <v>3159</v>
      </c>
      <c r="C367" s="2945">
        <v>2300</v>
      </c>
      <c r="D367" s="2945">
        <v>2260</v>
      </c>
      <c r="E367" s="2945">
        <v>2220</v>
      </c>
      <c r="F367" s="2945">
        <v>560</v>
      </c>
      <c r="G367" s="2958">
        <v>1370</v>
      </c>
    </row>
    <row r="368" spans="1:7" s="2780" customFormat="1">
      <c r="A368" s="2945" t="s">
        <v>3153</v>
      </c>
      <c r="B368" s="2945" t="s">
        <v>3160</v>
      </c>
      <c r="C368" s="2945">
        <v>2430</v>
      </c>
      <c r="D368" s="2945">
        <v>2390</v>
      </c>
      <c r="E368" s="2945">
        <v>2350</v>
      </c>
      <c r="F368" s="2945">
        <v>570</v>
      </c>
      <c r="G368" s="2958">
        <v>1450</v>
      </c>
    </row>
    <row r="369" spans="1:7" s="2780" customFormat="1">
      <c r="A369" s="2945" t="s">
        <v>3153</v>
      </c>
      <c r="B369" s="2945" t="s">
        <v>214</v>
      </c>
      <c r="C369" s="2945">
        <v>2320</v>
      </c>
      <c r="D369" s="2945">
        <v>2290</v>
      </c>
      <c r="E369" s="2945">
        <v>2250</v>
      </c>
      <c r="F369" s="2945">
        <v>550</v>
      </c>
      <c r="G369" s="2958">
        <v>1380</v>
      </c>
    </row>
    <row r="370" spans="1:7" s="2780" customFormat="1">
      <c r="A370" s="2945" t="s">
        <v>3153</v>
      </c>
      <c r="B370" s="2945" t="s">
        <v>221</v>
      </c>
      <c r="C370" s="2945">
        <v>2190</v>
      </c>
      <c r="D370" s="2945">
        <v>2170</v>
      </c>
      <c r="E370" s="2945">
        <v>2130</v>
      </c>
      <c r="F370" s="2945">
        <v>530</v>
      </c>
      <c r="G370" s="2958">
        <v>1310</v>
      </c>
    </row>
    <row r="371" spans="1:7" s="2780" customFormat="1">
      <c r="A371" s="2945" t="s">
        <v>3153</v>
      </c>
      <c r="B371" s="2945" t="s">
        <v>229</v>
      </c>
      <c r="C371" s="2945">
        <v>2460</v>
      </c>
      <c r="D371" s="2945">
        <v>2420</v>
      </c>
      <c r="E371" s="2945">
        <v>2370</v>
      </c>
      <c r="F371" s="2945">
        <v>560</v>
      </c>
      <c r="G371" s="2958">
        <v>1470</v>
      </c>
    </row>
    <row r="372" spans="1:7" s="2780" customFormat="1">
      <c r="A372" s="2945" t="s">
        <v>3153</v>
      </c>
      <c r="B372" s="2945" t="s">
        <v>3161</v>
      </c>
      <c r="C372" s="2945">
        <v>2250</v>
      </c>
      <c r="D372" s="2945">
        <v>2210</v>
      </c>
      <c r="E372" s="2945">
        <v>2180</v>
      </c>
      <c r="F372" s="2945">
        <v>550</v>
      </c>
      <c r="G372" s="2958">
        <v>1340</v>
      </c>
    </row>
    <row r="373" spans="1:7" s="2780" customFormat="1">
      <c r="A373" s="2945" t="s">
        <v>3153</v>
      </c>
      <c r="B373" s="2945" t="s">
        <v>258</v>
      </c>
      <c r="C373" s="2945">
        <v>2210</v>
      </c>
      <c r="D373" s="2945">
        <v>2190</v>
      </c>
      <c r="E373" s="2945">
        <v>2150</v>
      </c>
      <c r="F373" s="2945">
        <v>530</v>
      </c>
      <c r="G373" s="2958">
        <v>1320</v>
      </c>
    </row>
    <row r="374" spans="1:7" s="2780" customFormat="1">
      <c r="A374" s="2945" t="s">
        <v>3153</v>
      </c>
      <c r="B374" s="2945" t="s">
        <v>266</v>
      </c>
      <c r="C374" s="2945">
        <v>2320</v>
      </c>
      <c r="D374" s="2945">
        <v>2280</v>
      </c>
      <c r="E374" s="2945">
        <v>2230</v>
      </c>
      <c r="F374" s="2945">
        <v>580</v>
      </c>
      <c r="G374" s="2958">
        <v>1380</v>
      </c>
    </row>
    <row r="375" spans="1:7" s="2780" customFormat="1">
      <c r="A375" s="2945" t="s">
        <v>3153</v>
      </c>
      <c r="B375" s="2945" t="s">
        <v>3162</v>
      </c>
      <c r="C375" s="2945">
        <v>2090</v>
      </c>
      <c r="D375" s="2945">
        <v>2050</v>
      </c>
      <c r="E375" s="2945">
        <v>2020</v>
      </c>
      <c r="F375" s="2945">
        <v>520</v>
      </c>
      <c r="G375" s="2958">
        <v>1240</v>
      </c>
    </row>
    <row r="376" spans="1:7" s="2780" customFormat="1">
      <c r="A376" s="2945" t="s">
        <v>3153</v>
      </c>
      <c r="B376" s="2945" t="s">
        <v>277</v>
      </c>
      <c r="C376" s="2945">
        <v>2010</v>
      </c>
      <c r="D376" s="2945">
        <v>1980</v>
      </c>
      <c r="E376" s="2945">
        <v>1940</v>
      </c>
      <c r="F376" s="2945">
        <v>540</v>
      </c>
      <c r="G376" s="2958">
        <v>1190</v>
      </c>
    </row>
    <row r="377" spans="1:7" s="2780" customFormat="1" ht="12" thickBot="1">
      <c r="A377" s="2953" t="s">
        <v>3153</v>
      </c>
      <c r="B377" s="2956" t="s">
        <v>2915</v>
      </c>
      <c r="C377" s="2956">
        <v>1930</v>
      </c>
      <c r="D377" s="2956">
        <v>1890</v>
      </c>
      <c r="E377" s="2956">
        <v>1860</v>
      </c>
      <c r="F377" s="2956">
        <v>530</v>
      </c>
      <c r="G377" s="2961">
        <v>1150</v>
      </c>
    </row>
    <row r="378" spans="1:7" s="2780" customFormat="1">
      <c r="A378" s="2962" t="s">
        <v>3163</v>
      </c>
      <c r="B378" s="2941" t="s">
        <v>3164</v>
      </c>
      <c r="C378" s="2941">
        <v>1520</v>
      </c>
      <c r="D378" s="2941">
        <v>1490</v>
      </c>
      <c r="E378" s="2941">
        <v>1460</v>
      </c>
      <c r="F378" s="2941">
        <v>460</v>
      </c>
      <c r="G378" s="2957">
        <v>940</v>
      </c>
    </row>
    <row r="379" spans="1:7" s="2780" customFormat="1">
      <c r="A379" s="2963" t="s">
        <v>3163</v>
      </c>
      <c r="B379" s="2945" t="s">
        <v>3165</v>
      </c>
      <c r="C379" s="2945">
        <v>1500</v>
      </c>
      <c r="D379" s="2945">
        <v>1470</v>
      </c>
      <c r="E379" s="2945">
        <v>1430</v>
      </c>
      <c r="F379" s="2945">
        <v>460</v>
      </c>
      <c r="G379" s="2958">
        <v>920</v>
      </c>
    </row>
    <row r="380" spans="1:7" s="2780" customFormat="1">
      <c r="A380" s="2963" t="s">
        <v>3163</v>
      </c>
      <c r="B380" s="2945" t="s">
        <v>3166</v>
      </c>
      <c r="C380" s="2945">
        <v>1620</v>
      </c>
      <c r="D380" s="2945">
        <v>1590</v>
      </c>
      <c r="E380" s="2945">
        <v>1560</v>
      </c>
      <c r="F380" s="2945">
        <v>480</v>
      </c>
      <c r="G380" s="2958">
        <v>1000</v>
      </c>
    </row>
    <row r="381" spans="1:7" s="2780" customFormat="1">
      <c r="A381" s="2963" t="s">
        <v>3163</v>
      </c>
      <c r="B381" s="2945" t="s">
        <v>3167</v>
      </c>
      <c r="C381" s="2945">
        <v>1460</v>
      </c>
      <c r="D381" s="2945">
        <v>1430</v>
      </c>
      <c r="E381" s="2945">
        <v>1390</v>
      </c>
      <c r="F381" s="2945">
        <v>450</v>
      </c>
      <c r="G381" s="2958">
        <v>900</v>
      </c>
    </row>
    <row r="382" spans="1:7" s="2780" customFormat="1">
      <c r="A382" s="2963" t="s">
        <v>3163</v>
      </c>
      <c r="B382" s="2945" t="s">
        <v>3168</v>
      </c>
      <c r="C382" s="2945">
        <v>1310</v>
      </c>
      <c r="D382" s="2945">
        <v>1280</v>
      </c>
      <c r="E382" s="2945">
        <v>1250</v>
      </c>
      <c r="F382" s="2945">
        <v>440</v>
      </c>
      <c r="G382" s="2958">
        <v>800</v>
      </c>
    </row>
    <row r="383" spans="1:7" s="2780" customFormat="1">
      <c r="A383" s="2963" t="s">
        <v>3163</v>
      </c>
      <c r="B383" s="2945" t="s">
        <v>3169</v>
      </c>
      <c r="C383" s="2945">
        <v>1260</v>
      </c>
      <c r="D383" s="2945">
        <v>1230</v>
      </c>
      <c r="E383" s="2945">
        <v>1200</v>
      </c>
      <c r="F383" s="2945">
        <v>420</v>
      </c>
      <c r="G383" s="2958">
        <v>770</v>
      </c>
    </row>
    <row r="384" spans="1:7" s="2780" customFormat="1" ht="12" thickBot="1">
      <c r="A384" s="2964" t="s">
        <v>3163</v>
      </c>
      <c r="B384" s="2952" t="s">
        <v>3170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topLeftCell="A4"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45792</v>
      </c>
      <c r="D1" s="1216" t="s">
        <v>603</v>
      </c>
      <c r="E1" s="1211">
        <f>'数据-取费表'!B22</f>
        <v>3</v>
      </c>
      <c r="F1" s="1216" t="s">
        <v>604</v>
      </c>
      <c r="G1" s="1212">
        <f ca="1">INDIRECT("d"&amp;$K$1)/100</f>
        <v>3.1E-2</v>
      </c>
      <c r="H1" s="1216" t="s">
        <v>634</v>
      </c>
      <c r="I1" s="1212">
        <f ca="1">F4/100</f>
        <v>1.4999999999999999E-2</v>
      </c>
      <c r="J1" s="1217">
        <f>IF(C1&gt;C13,0,MATCH(C1,C$13:C$114,-1))+IF(SUMIF(C13:C114,C1,D13:D114)=0,13,12)</f>
        <v>14</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f>D13</f>
        <v>3</v>
      </c>
      <c r="F13" s="1200">
        <f>D13</f>
        <v>3</v>
      </c>
      <c r="G13" s="1200">
        <f>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v>3.1</v>
      </c>
      <c r="F14" s="1204">
        <v>3.1</v>
      </c>
      <c r="G14" s="1204">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v>3.35</v>
      </c>
      <c r="F15" s="1204">
        <v>3.35</v>
      </c>
      <c r="G15" s="1204">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v>3.45</v>
      </c>
      <c r="F16" s="1204">
        <v>3.45</v>
      </c>
      <c r="G16" s="1204">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v>3.45</v>
      </c>
      <c r="F17" s="1204">
        <v>3.45</v>
      </c>
      <c r="G17" s="1204">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v>3.55</v>
      </c>
      <c r="F18" s="1204">
        <v>3.55</v>
      </c>
      <c r="G18" s="1204">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v>3.7</v>
      </c>
      <c r="F20" s="1204">
        <v>3.7</v>
      </c>
      <c r="G20" s="1204">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v>3.7</v>
      </c>
      <c r="F21" s="1204">
        <v>3.7</v>
      </c>
      <c r="G21" s="1204">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v>3.8</v>
      </c>
      <c r="F22" s="1204">
        <v>3.8</v>
      </c>
      <c r="G22" s="1204">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2299</v>
      </c>
      <c r="C27" s="1206">
        <v>43697</v>
      </c>
      <c r="D27" s="3189">
        <v>4.25</v>
      </c>
      <c r="E27" s="3189">
        <v>4.25</v>
      </c>
      <c r="F27" s="3189">
        <v>4.25</v>
      </c>
      <c r="G27" s="3189">
        <v>4.25</v>
      </c>
      <c r="H27" s="3189">
        <v>4.8499999999999996</v>
      </c>
      <c r="I27" s="3189"/>
      <c r="J27" s="318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3190"/>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algorithmName="SHA-512" hashValue="CXy1RvNxf3rTXBsxFARCy4N5qR7BImYGF9OxV8LCKVxwg5nBMMFPkySp9WiLVHR/QJUYYeeLp+EO6InYOoZ/Fg==" saltValue="8Xv0Kp283rlw9Pg2tuQbbw==" spinCount="100000"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6" t="str">
        <f>IF(项目基本情况!B9="房地产市场价值","估价结果一览表","结果表-2")</f>
        <v>结果表-2</v>
      </c>
      <c r="B1" s="3266"/>
      <c r="C1" s="3266"/>
      <c r="D1" s="3266"/>
      <c r="E1" s="3266"/>
      <c r="F1" s="3266"/>
      <c r="G1" s="3266"/>
      <c r="H1" s="3266"/>
      <c r="I1" s="3266"/>
    </row>
    <row r="2" spans="1:9" ht="30" customHeight="1" thickTop="1">
      <c r="A2" s="3267" t="s">
        <v>928</v>
      </c>
      <c r="B2" s="3267" t="s">
        <v>929</v>
      </c>
      <c r="C2" s="3267" t="s">
        <v>930</v>
      </c>
      <c r="D2" s="3267" t="str">
        <f>结果表!D116</f>
        <v>出让国有建设用地使用权价值</v>
      </c>
      <c r="E2" s="3267"/>
      <c r="F2" s="3267" t="str">
        <f>结果表!F116</f>
        <v>在建建筑物价值</v>
      </c>
      <c r="G2" s="3267"/>
      <c r="H2" s="3267" t="str">
        <f>IF(项目基本情况!B9="房地产市场价值","房地产市场价值","房地产价值")</f>
        <v>房地产价值</v>
      </c>
      <c r="I2" s="3267"/>
    </row>
    <row r="3" spans="1:9" ht="15">
      <c r="A3" s="3262"/>
      <c r="B3" s="3262"/>
      <c r="C3" s="3262"/>
      <c r="D3" s="801" t="s">
        <v>925</v>
      </c>
      <c r="E3" s="801" t="s">
        <v>931</v>
      </c>
      <c r="F3" s="801" t="s">
        <v>925</v>
      </c>
      <c r="G3" s="801" t="s">
        <v>926</v>
      </c>
      <c r="H3" s="801" t="s">
        <v>925</v>
      </c>
      <c r="I3" s="801" t="s">
        <v>926</v>
      </c>
    </row>
    <row r="4" spans="1:9" ht="15">
      <c r="A4" s="1402" t="str">
        <f>项目基本情况!S2</f>
        <v>房地产</v>
      </c>
      <c r="B4" s="801">
        <f>项目基本情况!C17</f>
        <v>251875.15999999997</v>
      </c>
      <c r="C4" s="801">
        <f>项目基本情况!C18</f>
        <v>217068.78</v>
      </c>
      <c r="D4" s="801">
        <f ca="1">结果表!D118</f>
        <v>125862</v>
      </c>
      <c r="E4" s="801">
        <f ca="1">结果表!E118</f>
        <v>4997</v>
      </c>
      <c r="F4" s="801">
        <f ca="1">结果表!F118</f>
        <v>175230</v>
      </c>
      <c r="G4" s="801">
        <f ca="1">结果表!G118</f>
        <v>6957</v>
      </c>
      <c r="H4" s="801">
        <f ca="1">结果表!H118</f>
        <v>301092</v>
      </c>
      <c r="I4" s="801">
        <f ca="1">结果表!I118</f>
        <v>11954</v>
      </c>
    </row>
    <row r="5" spans="1:9" ht="30" customHeight="1">
      <c r="A5" s="3262" t="s">
        <v>927</v>
      </c>
      <c r="B5" s="3262"/>
      <c r="C5" s="3262"/>
      <c r="D5" s="3262" t="str">
        <f ca="1">结果表!D119</f>
        <v>壹拾贰亿伍仟捌佰陆拾贰万元整</v>
      </c>
      <c r="E5" s="3262"/>
      <c r="F5" s="3262" t="str">
        <f ca="1">结果表!F119</f>
        <v>壹拾柒亿伍仟贰佰叁拾万元整</v>
      </c>
      <c r="G5" s="3262"/>
      <c r="H5" s="3262" t="str">
        <f ca="1">结果表!H119</f>
        <v>叁拾亿壹仟零玖拾贰万元整</v>
      </c>
      <c r="I5" s="3262"/>
    </row>
    <row r="6" spans="1:9" ht="15.75">
      <c r="A6" s="3261" t="str">
        <f>结果表!A120</f>
        <v>估价师知悉的法定优先受偿款</v>
      </c>
      <c r="B6" s="3261"/>
      <c r="C6" s="3261"/>
      <c r="D6" s="3261">
        <f>结果表!D120</f>
        <v>0</v>
      </c>
      <c r="E6" s="3261"/>
      <c r="F6" s="3261"/>
      <c r="G6" s="3261"/>
      <c r="H6" s="3261"/>
      <c r="I6" s="3261"/>
    </row>
    <row r="7" spans="1:9" ht="15">
      <c r="A7" s="3262" t="s">
        <v>927</v>
      </c>
      <c r="B7" s="3262"/>
      <c r="C7" s="3262"/>
      <c r="D7" s="3263" t="str">
        <f>结果表!D121</f>
        <v>零元整</v>
      </c>
      <c r="E7" s="3264"/>
      <c r="F7" s="3264"/>
      <c r="G7" s="3264"/>
      <c r="H7" s="3264"/>
      <c r="I7" s="3265"/>
    </row>
    <row r="8" spans="1:9" ht="15.75">
      <c r="A8" s="3261" t="str">
        <f>结果表!A122</f>
        <v>房地产抵押价值</v>
      </c>
      <c r="B8" s="3261"/>
      <c r="C8" s="3261"/>
      <c r="D8" s="3261">
        <f ca="1">结果表!D122</f>
        <v>301092</v>
      </c>
      <c r="E8" s="3261"/>
      <c r="F8" s="3261"/>
      <c r="G8" s="3261"/>
      <c r="H8" s="3261"/>
      <c r="I8" s="3261"/>
    </row>
    <row r="9" spans="1:9" ht="15">
      <c r="A9" s="3262" t="s">
        <v>927</v>
      </c>
      <c r="B9" s="3262"/>
      <c r="C9" s="3262"/>
      <c r="D9" s="3262" t="str">
        <f ca="1">结果表!D123</f>
        <v>叁拾亿壹仟零玖拾贰万元整</v>
      </c>
      <c r="E9" s="3262"/>
      <c r="F9" s="3262"/>
      <c r="G9" s="3262"/>
      <c r="H9" s="3262"/>
      <c r="I9" s="3262"/>
    </row>
    <row r="10" spans="1:9" ht="15.75">
      <c r="A10" s="3261" t="str">
        <f>结果表!A124</f>
        <v/>
      </c>
      <c r="B10" s="3261"/>
      <c r="C10" s="3261"/>
      <c r="D10" s="3261" t="str">
        <f>结果表!D124</f>
        <v>——</v>
      </c>
      <c r="E10" s="3261"/>
      <c r="F10" s="3261"/>
      <c r="G10" s="3261"/>
      <c r="H10" s="3261"/>
      <c r="I10" s="3261"/>
    </row>
    <row r="11" spans="1:9" ht="15">
      <c r="A11" s="3262" t="s">
        <v>927</v>
      </c>
      <c r="B11" s="3262"/>
      <c r="C11" s="3262"/>
      <c r="D11" s="3262" t="e">
        <f>结果表!D125</f>
        <v>#VALUE!</v>
      </c>
      <c r="E11" s="3262"/>
      <c r="F11" s="3262"/>
      <c r="G11" s="3262"/>
      <c r="H11" s="3262"/>
      <c r="I11" s="3262"/>
    </row>
    <row r="12" spans="1:9" ht="15.75">
      <c r="A12" s="3261" t="str">
        <f>结果表!A126</f>
        <v/>
      </c>
      <c r="B12" s="3261"/>
      <c r="C12" s="3261"/>
      <c r="D12" s="3261" t="str">
        <f>结果表!D126</f>
        <v>——</v>
      </c>
      <c r="E12" s="3261"/>
      <c r="F12" s="3261"/>
      <c r="G12" s="3261"/>
      <c r="H12" s="3261"/>
      <c r="I12" s="3261"/>
    </row>
    <row r="13" spans="1:9" ht="15.75" thickBot="1">
      <c r="A13" s="3259" t="s">
        <v>927</v>
      </c>
      <c r="B13" s="3259"/>
      <c r="C13" s="3259"/>
      <c r="D13" s="3259" t="e">
        <f>结果表!D127</f>
        <v>#VALUE!</v>
      </c>
      <c r="E13" s="3259"/>
      <c r="F13" s="3259"/>
      <c r="G13" s="3259"/>
      <c r="H13" s="3259"/>
      <c r="I13" s="3259"/>
    </row>
    <row r="14" spans="1:9" ht="15" thickTop="1">
      <c r="A14" s="3260" t="s">
        <v>932</v>
      </c>
      <c r="B14" s="3260"/>
      <c r="C14" s="3260"/>
      <c r="D14" s="3260"/>
      <c r="E14" s="3260"/>
      <c r="F14" s="3260"/>
      <c r="G14" s="3260"/>
      <c r="H14" s="3260"/>
      <c r="I14" s="326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4" t="s">
        <v>949</v>
      </c>
      <c r="B1" s="3274"/>
      <c r="C1" s="3274"/>
      <c r="D1" s="3274"/>
    </row>
    <row r="2" spans="1:4" ht="18">
      <c r="A2" s="3275" t="s">
        <v>933</v>
      </c>
      <c r="B2" s="3275"/>
      <c r="C2" s="3275"/>
      <c r="D2" s="327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5" t="s">
        <v>939</v>
      </c>
      <c r="B6" s="3275"/>
      <c r="C6" s="3275"/>
      <c r="D6" s="327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6" t="s">
        <v>942</v>
      </c>
      <c r="B11" s="3268"/>
      <c r="C11" s="3268"/>
      <c r="D11" s="3268"/>
    </row>
    <row r="12" spans="1:4" ht="15.75">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3"/>
      <c r="C12" s="3273"/>
      <c r="D12" s="3273"/>
    </row>
    <row r="13" spans="1:4" ht="30" customHeight="1">
      <c r="A13" s="32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3"/>
      <c r="C13" s="3273"/>
      <c r="D13" s="3273"/>
    </row>
    <row r="14" spans="1:4" ht="15.75" customHeight="1">
      <c r="A14" s="3268" t="str">
        <f>IF(项目基本情况!B8="抵押","4.本次评估估价师所知悉的法定优先受偿款情况说明如下：","——")</f>
        <v>4.本次评估估价师所知悉的法定优先受偿款情况说明如下：</v>
      </c>
      <c r="B14" s="3273"/>
      <c r="C14" s="3273"/>
      <c r="D14" s="3273"/>
    </row>
    <row r="15" spans="1:4" ht="42" customHeight="1">
      <c r="A15" s="32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8"/>
      <c r="C15" s="3268"/>
      <c r="D15" s="3268"/>
    </row>
    <row r="16" spans="1:4" ht="30" customHeight="1">
      <c r="A16" s="3270" t="s">
        <v>943</v>
      </c>
      <c r="B16" s="3270"/>
      <c r="C16" s="3270"/>
      <c r="D16" s="3270"/>
    </row>
    <row r="17" spans="1:4" ht="144" customHeight="1">
      <c r="A17" s="3270" t="s">
        <v>944</v>
      </c>
      <c r="B17" s="3270"/>
      <c r="C17" s="3270"/>
      <c r="D17" s="3270"/>
    </row>
    <row r="18" spans="1:4" ht="15.75" customHeight="1">
      <c r="A18" s="3268" t="str">
        <f>IF(项目基本情况!B8="抵押",结果表!K120,"——")</f>
        <v>故，本次评估不存在估价师知悉的法定优先受偿款</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1"/>
      <c r="C21" s="3271"/>
      <c r="D21" s="3271"/>
    </row>
    <row r="22" spans="1:4" ht="18.75" customHeight="1">
      <c r="A22" s="3272" t="s">
        <v>945</v>
      </c>
      <c r="B22" s="3272"/>
      <c r="C22" s="3272"/>
      <c r="D22" s="327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69">
        <v>42551</v>
      </c>
      <c r="D31" s="32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2" t="s">
        <v>956</v>
      </c>
      <c r="B15" s="3277" t="s">
        <v>109</v>
      </c>
      <c r="C15" s="3278"/>
    </row>
    <row r="16" spans="1:7" ht="13.5">
      <c r="A16" s="3283"/>
      <c r="B16" s="3277" t="s">
        <v>42</v>
      </c>
      <c r="C16" s="3278"/>
    </row>
    <row r="17" spans="1:3" ht="13.5">
      <c r="A17" s="3283"/>
      <c r="B17" s="3280" t="s">
        <v>957</v>
      </c>
      <c r="C17" s="1428" t="s">
        <v>956</v>
      </c>
    </row>
    <row r="18" spans="1:3" ht="13.5">
      <c r="A18" s="3283"/>
      <c r="B18" s="3280"/>
      <c r="C18" s="1428" t="s">
        <v>958</v>
      </c>
    </row>
    <row r="19" spans="1:3" ht="13.5">
      <c r="A19" s="3283"/>
      <c r="B19" s="3280"/>
      <c r="C19" s="1428" t="s">
        <v>959</v>
      </c>
    </row>
    <row r="20" spans="1:3" ht="13.5">
      <c r="A20" s="3284"/>
      <c r="B20" s="3279" t="s">
        <v>960</v>
      </c>
      <c r="C20" s="3278"/>
    </row>
    <row r="21" spans="1:3" ht="13.5">
      <c r="A21" s="1429" t="s">
        <v>961</v>
      </c>
      <c r="B21" s="1430"/>
      <c r="C21" s="1431"/>
    </row>
    <row r="22" spans="1:3" ht="13.5">
      <c r="A22" s="3281" t="s">
        <v>962</v>
      </c>
      <c r="B22" s="3279" t="s">
        <v>963</v>
      </c>
      <c r="C22" s="3278"/>
    </row>
    <row r="23" spans="1:3" ht="13.5">
      <c r="A23" s="3281"/>
      <c r="B23" s="3279" t="s">
        <v>964</v>
      </c>
      <c r="C23" s="3278"/>
    </row>
    <row r="24" spans="1:3" ht="13.5">
      <c r="A24" s="3281"/>
      <c r="B24" s="3279" t="s">
        <v>965</v>
      </c>
      <c r="C24" s="3278"/>
    </row>
    <row r="25" spans="1:3" ht="13.5">
      <c r="A25" s="3281"/>
      <c r="B25" s="3280" t="s">
        <v>966</v>
      </c>
      <c r="C25" s="1428" t="s">
        <v>967</v>
      </c>
    </row>
    <row r="26" spans="1:3" ht="13.5">
      <c r="A26" s="3281"/>
      <c r="B26" s="3280"/>
      <c r="C26" s="1428" t="s">
        <v>968</v>
      </c>
    </row>
    <row r="27" spans="1:3" ht="13.5">
      <c r="A27" s="3281"/>
      <c r="B27" s="3280"/>
      <c r="C27" s="1428" t="s">
        <v>969</v>
      </c>
    </row>
    <row r="28" spans="1:3" ht="13.5">
      <c r="A28" s="3281"/>
      <c r="B28" s="3280"/>
      <c r="C28" s="1428" t="s">
        <v>970</v>
      </c>
    </row>
    <row r="29" spans="1:3" ht="13.5">
      <c r="A29" s="3281"/>
      <c r="B29" s="3280"/>
      <c r="C29" s="1428" t="s">
        <v>971</v>
      </c>
    </row>
    <row r="30" spans="1:3" ht="13.5">
      <c r="A30" s="3281"/>
      <c r="B30" s="3280"/>
      <c r="C30" s="1428" t="s">
        <v>972</v>
      </c>
    </row>
    <row r="31" spans="1:3" ht="13.5">
      <c r="A31" s="3281"/>
      <c r="B31" s="3280"/>
      <c r="C31" s="1428" t="s">
        <v>973</v>
      </c>
    </row>
    <row r="32" spans="1:3" ht="13.5">
      <c r="A32" s="3281"/>
      <c r="B32" s="3280"/>
      <c r="C32" s="1428" t="s">
        <v>974</v>
      </c>
    </row>
    <row r="33" spans="1:3" ht="13.5">
      <c r="A33" s="3281"/>
      <c r="B33" s="328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45799</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5" t="s">
        <v>2159</v>
      </c>
      <c r="B17" s="3285"/>
      <c r="C17" s="3285"/>
      <c r="D17" s="3285"/>
      <c r="E17" s="3285"/>
      <c r="F17" s="3285"/>
      <c r="G17" s="3285"/>
      <c r="H17" s="3285"/>
    </row>
    <row r="18" spans="1:8" ht="24" customHeight="1">
      <c r="A18" s="3286" t="s">
        <v>2160</v>
      </c>
      <c r="B18" s="3286"/>
      <c r="C18" s="3286"/>
      <c r="D18" s="2159"/>
      <c r="E18" s="3287" t="s">
        <v>2161</v>
      </c>
      <c r="F18" s="3286"/>
      <c r="G18" s="3286"/>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基准地价修正</vt:lpstr>
      <vt:lpstr>比较法-商业</vt:lpstr>
      <vt:lpstr>土地案例</vt:lpstr>
      <vt:lpstr>基准地价</vt:lpstr>
      <vt:lpstr>核心假设及结论</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2025-05-22T08:46:03Z</dcterms:modified>
</cp:coreProperties>
</file>