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N6" i="1"/>
  <c r="I91" i="9" l="1"/>
  <c r="K26" i="9"/>
  <c r="K25" i="9"/>
  <c r="C88" i="9" l="1"/>
  <c r="J52" i="15" l="1"/>
  <c r="AH6" i="1"/>
  <c r="Y6" i="1"/>
  <c r="N19" i="1"/>
  <c r="G19" i="6"/>
  <c r="F19" i="6"/>
  <c r="E5" i="78"/>
  <c r="E6" i="78"/>
  <c r="E7" i="78"/>
  <c r="E8" i="78"/>
  <c r="E9" i="78"/>
  <c r="E10" i="78"/>
  <c r="E11" i="78"/>
  <c r="E12" i="78"/>
  <c r="E13" i="78"/>
  <c r="E4" i="78"/>
  <c r="E14" i="78"/>
  <c r="D14" i="78"/>
  <c r="C14" i="78"/>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K27" i="9" s="1"/>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0" i="39" s="1"/>
  <c r="BL17" i="3"/>
  <c r="AZ17" i="3"/>
  <c r="BL13" i="3"/>
  <c r="E64" i="39"/>
  <c r="G30" i="6"/>
  <c r="G31" i="6"/>
  <c r="J56" i="9"/>
  <c r="J57" i="9" s="1"/>
  <c r="J59" i="9" s="1"/>
  <c r="J61" i="9" s="1"/>
  <c r="A24" i="51"/>
  <c r="B18" i="72"/>
  <c r="U29" i="34"/>
  <c r="E14" i="6"/>
  <c r="E63" i="39" s="1"/>
  <c r="E5" i="6"/>
  <c r="D9" i="11" s="1"/>
  <c r="C9" i="11" s="1"/>
  <c r="E32" i="6"/>
  <c r="L19" i="6"/>
  <c r="G1" i="68"/>
  <c r="K1" i="12"/>
  <c r="F30" i="6"/>
  <c r="E28" i="6"/>
  <c r="E57" i="40"/>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s="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11"/>
  <c r="C48" i="11" s="1"/>
  <c r="E62" i="39"/>
  <c r="T11" i="1"/>
  <c r="AR11" i="1"/>
  <c r="E59" i="40"/>
  <c r="E30" i="6"/>
  <c r="T13"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14" i="1"/>
  <c r="M14" i="1" s="1"/>
  <c r="O14" i="1" s="1"/>
  <c r="BL5" i="3"/>
  <c r="E538" i="3"/>
  <c r="E418"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Q16" i="1"/>
  <c r="F27" i="69" s="1"/>
  <c r="AB45" i="21"/>
  <c r="AC33" i="21"/>
  <c r="W33" i="21"/>
  <c r="S33" i="21"/>
  <c r="AA33" i="21"/>
  <c r="W32" i="21"/>
  <c r="AC32" i="21"/>
  <c r="AB9" i="21"/>
  <c r="U9" i="21"/>
  <c r="AA32" i="21"/>
  <c r="S32" i="21"/>
  <c r="W9" i="21"/>
  <c r="AC9" i="21"/>
  <c r="AB32" i="21"/>
  <c r="U32" i="21"/>
  <c r="AA10" i="21"/>
  <c r="S10" i="21"/>
  <c r="AR7" i="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7" i="1"/>
  <c r="AE8" i="1"/>
  <c r="AG6" i="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29" i="15"/>
  <c r="J15" i="15"/>
  <c r="D2" i="34"/>
  <c r="B13" i="76"/>
  <c r="B7" i="76"/>
  <c r="F9" i="15"/>
  <c r="F3" i="73"/>
  <c r="F6" i="15"/>
  <c r="E2" i="68"/>
  <c r="M29" i="67"/>
  <c r="F6" i="67"/>
  <c r="AO13" i="1"/>
  <c r="L48" i="15"/>
  <c r="M6" i="67"/>
  <c r="M24" i="67"/>
  <c r="J15" i="67"/>
  <c r="M9" i="15"/>
  <c r="F5" i="73"/>
  <c r="E8" i="76"/>
  <c r="M6" i="15"/>
  <c r="L48" i="67"/>
  <c r="E9" i="76"/>
  <c r="F16" i="67"/>
  <c r="M24" i="15"/>
  <c r="F43" i="15"/>
  <c r="F40" i="67"/>
  <c r="F42" i="67"/>
  <c r="L47" i="67"/>
  <c r="D3" i="73"/>
  <c r="C76" i="67"/>
  <c r="AO9" i="1"/>
  <c r="F37" i="15"/>
  <c r="M22" i="67"/>
  <c r="M8" i="67"/>
  <c r="C76" i="15"/>
  <c r="F37" i="67"/>
  <c r="E2" i="69"/>
  <c r="M8" i="15"/>
  <c r="F36" i="67"/>
  <c r="D2" i="33"/>
  <c r="D2" i="35"/>
  <c r="E7" i="76"/>
  <c r="D2" i="21"/>
  <c r="B12" i="76"/>
  <c r="M9" i="67"/>
  <c r="AO11" i="1"/>
  <c r="M23" i="67"/>
  <c r="F26" i="15"/>
  <c r="AO8" i="1"/>
  <c r="F7" i="15"/>
  <c r="L47" i="15"/>
  <c r="F16" i="15"/>
  <c r="F43" i="67"/>
  <c r="M27" i="15"/>
  <c r="E13" i="76"/>
  <c r="E10" i="76"/>
  <c r="M26" i="67"/>
  <c r="F36" i="15"/>
  <c r="B8" i="76"/>
  <c r="AO12" i="1"/>
  <c r="F38" i="67"/>
  <c r="F42" i="15"/>
  <c r="M22" i="15"/>
  <c r="M27" i="67"/>
  <c r="B11" i="76"/>
  <c r="F7" i="67"/>
  <c r="F7" i="73"/>
  <c r="D2" i="36"/>
  <c r="F26" i="67"/>
  <c r="AO7" i="1"/>
  <c r="AO10" i="1"/>
  <c r="M26" i="15"/>
  <c r="E11" i="76"/>
  <c r="F41" i="67"/>
  <c r="F20" i="31"/>
  <c r="M28" i="15"/>
  <c r="F6" i="73"/>
  <c r="F8" i="15"/>
  <c r="D7" i="73"/>
  <c r="D5" i="73"/>
  <c r="F13" i="67"/>
  <c r="E12" i="76"/>
  <c r="M28" i="67"/>
  <c r="F4" i="73"/>
  <c r="F40" i="15"/>
  <c r="B9" i="76"/>
  <c r="B10" i="76"/>
  <c r="D4" i="73"/>
  <c r="F8" i="67"/>
  <c r="F13" i="15"/>
  <c r="D2" i="37"/>
  <c r="F38" i="15"/>
  <c r="D6" i="73"/>
  <c r="M23" i="15"/>
  <c r="F9" i="67"/>
  <c r="J51" i="15" l="1"/>
  <c r="C21" i="68"/>
  <c r="C40" i="69"/>
  <c r="P61" i="15"/>
  <c r="C92" i="9"/>
  <c r="C94" i="9"/>
  <c r="F30" i="69"/>
  <c r="F48" i="69" s="1"/>
  <c r="M18" i="15"/>
  <c r="F52" i="9"/>
  <c r="F54" i="9"/>
  <c r="F32" i="15"/>
  <c r="F60" i="15" s="1"/>
  <c r="F32" i="67"/>
  <c r="F60" i="67" s="1"/>
  <c r="F28" i="67"/>
  <c r="C28" i="67" s="1"/>
  <c r="C30" i="11"/>
  <c r="D68" i="9"/>
  <c r="F28" i="15"/>
  <c r="C28" i="15" s="1"/>
  <c r="M18" i="67"/>
  <c r="F31" i="12"/>
  <c r="C31" i="12" s="1"/>
  <c r="F30" i="68"/>
  <c r="F53" i="9"/>
  <c r="C21" i="69"/>
  <c r="D22" i="67"/>
  <c r="C36" i="69"/>
  <c r="E2" i="70"/>
  <c r="AQ8" i="1"/>
  <c r="AQ9" i="1"/>
  <c r="AQ13" i="1"/>
  <c r="T10" i="1"/>
  <c r="T12" i="1"/>
  <c r="T7" i="1"/>
  <c r="E56" i="40"/>
  <c r="F28" i="12"/>
  <c r="C29" i="12" s="1"/>
  <c r="D28" i="12" s="1"/>
  <c r="C34" i="69"/>
  <c r="C35" i="69" s="1"/>
  <c r="F27" i="11"/>
  <c r="F27" i="68"/>
  <c r="F45" i="68" s="1"/>
  <c r="H16" i="1"/>
  <c r="T9" i="1"/>
  <c r="E16" i="6"/>
  <c r="D9" i="68"/>
  <c r="C9" i="68" s="1"/>
  <c r="D9" i="69"/>
  <c r="C9" i="69" s="1"/>
  <c r="D19" i="12"/>
  <c r="C19" i="12" s="1"/>
  <c r="E65" i="39"/>
  <c r="F31" i="6"/>
  <c r="E27" i="6"/>
  <c r="M16" i="1"/>
  <c r="C34" i="11" s="1"/>
  <c r="P7" i="1"/>
  <c r="P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E407" i="3"/>
  <c r="AB6" i="3"/>
  <c r="V6" i="3"/>
  <c r="P14" i="1"/>
  <c r="K16" i="1"/>
  <c r="O9" i="1"/>
  <c r="P9" i="1" s="1"/>
  <c r="O8" i="1"/>
  <c r="P8" i="1" s="1"/>
  <c r="AY6" i="3"/>
  <c r="E3" i="6"/>
  <c r="O12" i="1"/>
  <c r="P12" i="1" s="1"/>
  <c r="T8"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15"/>
  <c r="C17" i="67"/>
  <c r="G1" i="73"/>
  <c r="C17" i="15"/>
  <c r="C14" i="67"/>
  <c r="C16" i="67"/>
  <c r="C29" i="68" l="1"/>
  <c r="D27" i="68" s="1"/>
  <c r="C48" i="69"/>
  <c r="C30" i="69"/>
  <c r="F48" i="68"/>
  <c r="C48" i="68"/>
  <c r="C30" i="68"/>
  <c r="C38" i="69"/>
  <c r="C47" i="68"/>
  <c r="D45" i="68" s="1"/>
  <c r="C29" i="11"/>
  <c r="D27" i="11" s="1"/>
  <c r="C47" i="11"/>
  <c r="D45" i="11" s="1"/>
  <c r="C38" i="11"/>
  <c r="C35" i="11"/>
  <c r="D22" i="43"/>
  <c r="K24" i="6"/>
  <c r="M24" i="6" s="1"/>
  <c r="I24" i="6" s="1"/>
  <c r="S24" i="6" s="1"/>
  <c r="E31" i="6"/>
  <c r="K22" i="6"/>
  <c r="M22" i="6" s="1"/>
  <c r="I22" i="6" s="1"/>
  <c r="S22" i="6" s="1"/>
  <c r="K20" i="6"/>
  <c r="M20" i="6" s="1"/>
  <c r="I20" i="6" s="1"/>
  <c r="S20" i="6" s="1"/>
  <c r="K21" i="6"/>
  <c r="M21" i="6" s="1"/>
  <c r="I21" i="6" s="1"/>
  <c r="S21" i="6" s="1"/>
  <c r="K26" i="6"/>
  <c r="M26" i="6" s="1"/>
  <c r="I26" i="6" s="1"/>
  <c r="S26" i="6" s="1"/>
  <c r="K19" i="6"/>
  <c r="S6" i="1" s="1"/>
  <c r="K25" i="6"/>
  <c r="M25" i="6" s="1"/>
  <c r="I25" i="6" s="1"/>
  <c r="S25" i="6" s="1"/>
  <c r="K23" i="6"/>
  <c r="M23" i="6" s="1"/>
  <c r="I23" i="6" s="1"/>
  <c r="S23" i="6" s="1"/>
  <c r="N16" i="1"/>
  <c r="L16" i="1"/>
  <c r="C34" i="68"/>
  <c r="AC6" i="3"/>
  <c r="H6" i="3"/>
  <c r="D3" i="34"/>
  <c r="D3" i="33"/>
  <c r="D19" i="11"/>
  <c r="C19" i="11" s="1"/>
  <c r="C17" i="4"/>
  <c r="B4" i="52" s="1"/>
  <c r="B43" i="72" s="1"/>
  <c r="L18" i="9"/>
  <c r="D3" i="37"/>
  <c r="D3" i="21"/>
  <c r="E6" i="6"/>
  <c r="D14" i="12"/>
  <c r="D37" i="11"/>
  <c r="C37" i="11" s="1"/>
  <c r="M18" i="9"/>
  <c r="B118" i="9" s="1"/>
  <c r="B14" i="74" s="1"/>
  <c r="B1" i="74" s="1"/>
  <c r="O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87" i="3"/>
  <c r="AY51" i="3"/>
  <c r="AY34" i="3"/>
  <c r="AY207" i="3"/>
  <c r="AY144" i="3"/>
  <c r="AY124" i="3"/>
  <c r="AY95" i="3"/>
  <c r="AY42" i="3"/>
  <c r="AY152" i="3"/>
  <c r="AY281" i="3"/>
  <c r="AY111" i="3"/>
  <c r="AY168" i="3"/>
  <c r="AY253" i="3"/>
  <c r="AY236" i="3"/>
  <c r="AY382" i="3"/>
  <c r="AY366" i="3"/>
  <c r="AY303" i="3"/>
  <c r="AY473" i="3"/>
  <c r="AY460" i="3"/>
  <c r="AY441" i="3"/>
  <c r="AY529"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83" i="3"/>
  <c r="AY66" i="3"/>
  <c r="AY23" i="3"/>
  <c r="AY176" i="3"/>
  <c r="AY155" i="3"/>
  <c r="AY115" i="3"/>
  <c r="AY59" i="3"/>
  <c r="AY188" i="3"/>
  <c r="AY131" i="3"/>
  <c r="AY276" i="3"/>
  <c r="AY58" i="3"/>
  <c r="AY297" i="3"/>
  <c r="AY268" i="3"/>
  <c r="AY225" i="3"/>
  <c r="AY371" i="3"/>
  <c r="AY335" i="3"/>
  <c r="AY318" i="3"/>
  <c r="AY470" i="3"/>
  <c r="AY428" i="3"/>
  <c r="AY40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51" i="3"/>
  <c r="AY266" i="3"/>
  <c r="AY234" i="3"/>
  <c r="AY223" i="3"/>
  <c r="AY380" i="3"/>
  <c r="AY369" i="3"/>
  <c r="AY364" i="3"/>
  <c r="AY345" i="3"/>
  <c r="AY329" i="3"/>
  <c r="AY313" i="3"/>
  <c r="AY344" i="3"/>
  <c r="AY328" i="3"/>
  <c r="AY312" i="3"/>
  <c r="AY106"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250" i="3"/>
  <c r="AY396" i="3"/>
  <c r="AY361" i="3"/>
  <c r="AY337" i="3"/>
  <c r="AY305" i="3"/>
  <c r="AY320"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35" i="3"/>
  <c r="AY218" i="3"/>
  <c r="AY385" i="3"/>
  <c r="AY352" i="3"/>
  <c r="AY321" i="3"/>
  <c r="AY336"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N102" i="43"/>
  <c r="N105" i="43"/>
  <c r="N104" i="43"/>
  <c r="N109" i="43"/>
  <c r="N103" i="43"/>
  <c r="N106" i="43"/>
  <c r="N107"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5" i="43"/>
  <c r="D106" i="43"/>
  <c r="D102"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J7" i="37"/>
  <c r="W7" i="37" s="1"/>
  <c r="H7" i="36"/>
  <c r="H7" i="34"/>
  <c r="AB7" i="34" s="1"/>
  <c r="T49" i="34" s="1"/>
  <c r="G49" i="34"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U7" i="37"/>
  <c r="AB7" i="36"/>
  <c r="T36" i="36" s="1"/>
  <c r="G36" i="36" s="1"/>
  <c r="U7" i="36"/>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33" i="11" l="1"/>
  <c r="C39" i="11" s="1"/>
  <c r="C46" i="11" s="1"/>
  <c r="C45" i="11" s="1"/>
  <c r="AR6" i="1"/>
  <c r="S16" i="1"/>
  <c r="AQ6" i="1"/>
  <c r="T6" i="1"/>
  <c r="U10" i="39"/>
  <c r="E6" i="3"/>
  <c r="M19" i="6"/>
  <c r="K27" i="6"/>
  <c r="C35" i="68"/>
  <c r="C38" i="68"/>
  <c r="F50" i="11"/>
  <c r="F50" i="68"/>
  <c r="F50" i="69"/>
  <c r="AC10" i="40"/>
  <c r="U10" i="40"/>
  <c r="D10" i="11"/>
  <c r="C10" i="11" s="1"/>
  <c r="D20" i="12"/>
  <c r="C20" i="12" s="1"/>
  <c r="C18" i="12" s="1"/>
  <c r="D10" i="69"/>
  <c r="D10" i="68"/>
  <c r="C15" i="12"/>
  <c r="C12" i="12"/>
  <c r="D19" i="6"/>
  <c r="D26" i="6"/>
  <c r="C18" i="4"/>
  <c r="D8" i="6"/>
  <c r="D23" i="6"/>
  <c r="D14" i="6"/>
  <c r="D5" i="6"/>
  <c r="D12" i="6"/>
  <c r="D11" i="6"/>
  <c r="D13" i="6"/>
  <c r="D28" i="6"/>
  <c r="E61" i="40"/>
  <c r="H22" i="6"/>
  <c r="H21" i="6"/>
  <c r="H24" i="6"/>
  <c r="H20" i="6"/>
  <c r="M19" i="9"/>
  <c r="C118" i="9" s="1"/>
  <c r="C14" i="74" s="1"/>
  <c r="B2" i="74" s="1"/>
  <c r="D25" i="6"/>
  <c r="D15" i="6"/>
  <c r="D22" i="6"/>
  <c r="D21" i="6"/>
  <c r="D24" i="6"/>
  <c r="D20" i="6"/>
  <c r="D6" i="6"/>
  <c r="D9" i="6"/>
  <c r="D10" i="6"/>
  <c r="L19" i="9"/>
  <c r="D29" i="6"/>
  <c r="H25" i="6"/>
  <c r="H23" i="6"/>
  <c r="H26" i="6"/>
  <c r="D17" i="12"/>
  <c r="C17" i="12" s="1"/>
  <c r="C14" i="12"/>
  <c r="C20" i="11"/>
  <c r="C28" i="11" s="1"/>
  <c r="C27" i="11" s="1"/>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C115" i="43"/>
  <c r="D113" i="43" s="1"/>
  <c r="S10" i="40"/>
  <c r="AC10" i="39"/>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5" i="15" l="1"/>
  <c r="C18" i="15"/>
  <c r="T16" i="1"/>
  <c r="F69" i="15"/>
  <c r="J29" i="15"/>
  <c r="E29" i="43"/>
  <c r="R25" i="6"/>
  <c r="D30" i="6"/>
  <c r="R20" i="6"/>
  <c r="R7" i="1" s="1"/>
  <c r="R21" i="6"/>
  <c r="M27" i="6"/>
  <c r="I19" i="6"/>
  <c r="R22" i="6"/>
  <c r="D16" i="6"/>
  <c r="R26" i="6"/>
  <c r="C16" i="12"/>
  <c r="C21" i="12" s="1"/>
  <c r="C10" i="68"/>
  <c r="D19" i="68"/>
  <c r="R24" i="6"/>
  <c r="R23" i="6"/>
  <c r="A7" i="51"/>
  <c r="B7" i="72" s="1"/>
  <c r="C4" i="52"/>
  <c r="B45" i="72" s="1"/>
  <c r="A10" i="51"/>
  <c r="B9" i="72" s="1"/>
  <c r="D27" i="6"/>
  <c r="C10" i="69"/>
  <c r="C8" i="69" s="1"/>
  <c r="C5" i="69" s="1"/>
  <c r="C23" i="69" s="1"/>
  <c r="D19" i="6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4" i="11"/>
  <c r="C43" i="11"/>
  <c r="C25" i="11"/>
  <c r="C26" i="11"/>
  <c r="D22" i="11" s="1"/>
  <c r="C42" i="11"/>
  <c r="C38" i="67"/>
  <c r="C38" i="15"/>
  <c r="C66" i="67"/>
  <c r="C60" i="67"/>
  <c r="C23" i="67"/>
  <c r="C29" i="67" s="1"/>
  <c r="M21" i="67"/>
  <c r="B6" i="76"/>
  <c r="F35" i="67"/>
  <c r="E6" i="76"/>
  <c r="C19" i="15" l="1"/>
  <c r="C20" i="15" s="1"/>
  <c r="C26" i="15" s="1"/>
  <c r="J20" i="67"/>
  <c r="F63" i="67"/>
  <c r="C62" i="67" s="1"/>
  <c r="C34" i="67"/>
  <c r="D31" i="6"/>
  <c r="I6" i="6" s="1"/>
  <c r="S19" i="6"/>
  <c r="S27" i="6" s="1"/>
  <c r="I27" i="6"/>
  <c r="H19" i="6"/>
  <c r="C19" i="69"/>
  <c r="C24" i="69" s="1"/>
  <c r="D37" i="69"/>
  <c r="C37" i="69" s="1"/>
  <c r="C33" i="69" s="1"/>
  <c r="C19" i="68"/>
  <c r="D37" i="68"/>
  <c r="C37" i="68" s="1"/>
  <c r="C33" i="68"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41" i="11"/>
  <c r="C49" i="11" s="1"/>
  <c r="C51" i="11" s="1"/>
  <c r="C22" i="11"/>
  <c r="C31" i="11" s="1"/>
  <c r="C36" i="67"/>
  <c r="C33" i="67"/>
  <c r="J14" i="67"/>
  <c r="C13" i="67"/>
  <c r="J19" i="67"/>
  <c r="C57" i="67"/>
  <c r="C61" i="67" s="1"/>
  <c r="Q49" i="67"/>
  <c r="J59" i="67"/>
  <c r="J60" i="67" s="1"/>
  <c r="C31" i="67" l="1"/>
  <c r="C23" i="15"/>
  <c r="C29" i="15" s="1"/>
  <c r="J17" i="67"/>
  <c r="I5" i="6"/>
  <c r="C20" i="69"/>
  <c r="C28" i="69" s="1"/>
  <c r="C27" i="69" s="1"/>
  <c r="H27" i="6"/>
  <c r="R19" i="6"/>
  <c r="C30" i="12"/>
  <c r="C28" i="12" s="1"/>
  <c r="C32" i="12" s="1"/>
  <c r="B2" i="12" s="1"/>
  <c r="B3" i="12" s="1"/>
  <c r="C39" i="68"/>
  <c r="C42" i="68"/>
  <c r="C39" i="69"/>
  <c r="C43" i="69" s="1"/>
  <c r="C42" i="69"/>
  <c r="C20" i="68"/>
  <c r="C25" i="68" s="1"/>
  <c r="C24" i="68"/>
  <c r="I69" i="39"/>
  <c r="J67" i="39"/>
  <c r="B3" i="76"/>
  <c r="D6" i="71"/>
  <c r="M20" i="43"/>
  <c r="I63" i="40"/>
  <c r="H65" i="40"/>
  <c r="I58" i="21"/>
  <c r="J58" i="21" s="1"/>
  <c r="K58" i="21" s="1"/>
  <c r="L58" i="21" s="1"/>
  <c r="M58" i="21" s="1"/>
  <c r="N58" i="21" s="1"/>
  <c r="O58" i="21" s="1"/>
  <c r="H7" i="21" s="1"/>
  <c r="J7" i="21"/>
  <c r="F7" i="21"/>
  <c r="J48" i="35"/>
  <c r="C52" i="11"/>
  <c r="B2" i="11" s="1"/>
  <c r="B3" i="11" s="1"/>
  <c r="J13" i="67"/>
  <c r="J23" i="67" s="1"/>
  <c r="J22" i="67"/>
  <c r="C59" i="67"/>
  <c r="C64" i="67"/>
  <c r="Q48" i="67"/>
  <c r="L46" i="67"/>
  <c r="C56" i="67"/>
  <c r="C65" i="67" s="1"/>
  <c r="C75" i="67"/>
  <c r="Q70" i="67"/>
  <c r="C37" i="67"/>
  <c r="C30" i="67" l="1"/>
  <c r="C39" i="67" s="1"/>
  <c r="J14" i="15"/>
  <c r="C36" i="15"/>
  <c r="C13" i="15"/>
  <c r="C57" i="15"/>
  <c r="Q49" i="15"/>
  <c r="J59" i="15"/>
  <c r="J60" i="15" s="1"/>
  <c r="Q48" i="15" s="1"/>
  <c r="J19" i="15"/>
  <c r="C22" i="68"/>
  <c r="C41" i="69"/>
  <c r="R27" i="6"/>
  <c r="R6" i="1"/>
  <c r="C25" i="69"/>
  <c r="C22" i="69" s="1"/>
  <c r="C31" i="69" s="1"/>
  <c r="C28" i="68"/>
  <c r="C27" i="68" s="1"/>
  <c r="C46" i="69"/>
  <c r="C45" i="69"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F35" i="15"/>
  <c r="L51" i="67"/>
  <c r="M21" i="15"/>
  <c r="C61" i="15" l="1"/>
  <c r="C64" i="15"/>
  <c r="C56" i="15"/>
  <c r="C65" i="15" s="1"/>
  <c r="C37" i="15"/>
  <c r="Q70" i="15"/>
  <c r="C75" i="15"/>
  <c r="J22" i="15"/>
  <c r="J13" i="15"/>
  <c r="J23" i="15" s="1"/>
  <c r="C49" i="69"/>
  <c r="C51" i="69" s="1"/>
  <c r="C52" i="69" s="1"/>
  <c r="B2" i="69" s="1"/>
  <c r="B3" i="69" s="1"/>
  <c r="C34" i="15"/>
  <c r="C31" i="15" s="1"/>
  <c r="F63" i="15"/>
  <c r="C62" i="15" s="1"/>
  <c r="J20" i="15"/>
  <c r="J17" i="15" s="1"/>
  <c r="R16" i="1"/>
  <c r="C31" i="68"/>
  <c r="C49" i="68"/>
  <c r="C51" i="68"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0" i="15" l="1"/>
  <c r="C39" i="15" s="1"/>
  <c r="Q69" i="15" s="1"/>
  <c r="Q68" i="15" s="1"/>
  <c r="C59" i="15"/>
  <c r="C58" i="15" s="1"/>
  <c r="C67" i="15" s="1"/>
  <c r="C68" i="15" s="1"/>
  <c r="C71" i="15" s="1"/>
  <c r="J16" i="15"/>
  <c r="J25" i="15" s="1"/>
  <c r="C57" i="69"/>
  <c r="C56" i="69" s="1"/>
  <c r="L57" i="15"/>
  <c r="L60" i="15" s="1"/>
  <c r="L46" i="15" s="1"/>
  <c r="C52" i="68"/>
  <c r="B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19" i="9"/>
  <c r="C40" i="15" l="1"/>
  <c r="B2" i="15" s="1"/>
  <c r="C80" i="15"/>
  <c r="C79" i="15" s="1"/>
  <c r="D102" i="9"/>
  <c r="D21" i="9"/>
  <c r="B3" i="68"/>
  <c r="Q57" i="15"/>
  <c r="Q66" i="15"/>
  <c r="C57" i="68"/>
  <c r="C56" i="68" s="1"/>
  <c r="M69" i="39"/>
  <c r="N67" i="39"/>
  <c r="R39" i="35"/>
  <c r="E38" i="35"/>
  <c r="M63" i="40"/>
  <c r="L65" i="40"/>
  <c r="AO6" i="1"/>
  <c r="L51" i="15"/>
  <c r="C19" i="9"/>
  <c r="D20" i="9"/>
  <c r="C46" i="15" l="1"/>
  <c r="C83" i="15"/>
  <c r="C82" i="15" s="1"/>
  <c r="Q65" i="15"/>
  <c r="Q75" i="15" s="1"/>
  <c r="Q56" i="15"/>
  <c r="Q62" i="15" s="1"/>
  <c r="C43" i="15"/>
  <c r="Q47" i="15"/>
  <c r="Q53" i="15" s="1"/>
  <c r="Q67" i="15"/>
  <c r="D103" i="9"/>
  <c r="D22" i="9"/>
  <c r="C102" i="9"/>
  <c r="G19" i="9"/>
  <c r="C27" i="9" s="1"/>
  <c r="C21" i="9"/>
  <c r="B6" i="70"/>
  <c r="B2" i="70" s="1"/>
  <c r="B3" i="70" s="1"/>
  <c r="B3" i="15"/>
  <c r="O67" i="39"/>
  <c r="O69" i="39" s="1"/>
  <c r="N69" i="39"/>
  <c r="F7" i="39"/>
  <c r="C39" i="35"/>
  <c r="B2" i="35" s="1"/>
  <c r="B3" i="35" s="1"/>
  <c r="C38" i="35"/>
  <c r="N63" i="40"/>
  <c r="M65" i="40"/>
  <c r="E43" i="35"/>
  <c r="F43" i="35" s="1"/>
  <c r="E42" i="35"/>
  <c r="F42" i="35" s="1"/>
  <c r="I43" i="35"/>
  <c r="J43" i="35" s="1"/>
  <c r="D35" i="9"/>
  <c r="D34" i="9"/>
  <c r="C20" i="9"/>
  <c r="G21" i="9" l="1"/>
  <c r="D27" i="9"/>
  <c r="G20" i="9"/>
  <c r="C32" i="9" s="1"/>
  <c r="C103" i="9"/>
  <c r="H7" i="39"/>
  <c r="J7" i="39"/>
  <c r="S7" i="39"/>
  <c r="AA7" i="39"/>
  <c r="R47" i="39" s="1"/>
  <c r="O63" i="40"/>
  <c r="O65" i="40" s="1"/>
  <c r="N65" i="40"/>
  <c r="C35" i="9" l="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09" i="9" l="1"/>
  <c r="D16" i="53" s="1"/>
  <c r="B34" i="72" l="1"/>
  <c r="D17" i="53"/>
  <c r="B36" i="72" s="1"/>
  <c r="D124" i="9"/>
  <c r="H110" i="9"/>
  <c r="D18" i="53" s="1"/>
  <c r="B35" i="72" s="1"/>
  <c r="D125" i="9" l="1"/>
  <c r="D11" i="52" s="1"/>
  <c r="H14" i="74"/>
  <c r="B7" i="74" s="1"/>
  <c r="D10" i="52"/>
  <c r="D7" i="74" l="1"/>
  <c r="C7" i="74"/>
  <c r="D59" i="9" l="1"/>
  <c r="M55" i="9" s="1"/>
  <c r="F118" i="9" l="1"/>
  <c r="F4" i="52" s="1"/>
  <c r="B51" i="72" s="1"/>
  <c r="G118" i="9" l="1"/>
  <c r="D118" i="9"/>
  <c r="F119" i="9"/>
  <c r="F5" i="52" s="1"/>
  <c r="B53" i="72" s="1"/>
  <c r="G4" i="52" l="1"/>
  <c r="B52" i="72" s="1"/>
  <c r="D4" i="52"/>
  <c r="B47" i="72" s="1"/>
  <c r="D119" i="9"/>
  <c r="D5" i="52" s="1"/>
  <c r="B49" i="72" s="1"/>
  <c r="H118" i="9"/>
  <c r="I118" i="9"/>
  <c r="E118" i="9" s="1"/>
  <c r="E4" i="52" s="1"/>
  <c r="B48" i="72" s="1"/>
  <c r="H101" i="9"/>
  <c r="H107" i="9" s="1"/>
  <c r="D5" i="53"/>
  <c r="B20" i="72" s="1"/>
  <c r="D14" i="74"/>
  <c r="B5" i="74" s="1"/>
  <c r="C5" i="74" s="1"/>
  <c r="E14" i="74"/>
  <c r="M48" i="9"/>
  <c r="I4" i="52"/>
  <c r="H119" i="9"/>
  <c r="H5" i="52" s="1"/>
  <c r="H4" i="52"/>
  <c r="C104" i="9"/>
  <c r="F14" i="74" l="1"/>
  <c r="D6" i="53"/>
  <c r="B22" i="72" s="1"/>
  <c r="C105" i="9"/>
  <c r="H102" i="9"/>
  <c r="D7" i="53" s="1"/>
  <c r="B21" i="72" s="1"/>
  <c r="D5" i="74"/>
  <c r="M49" i="9"/>
  <c r="D122" i="9"/>
  <c r="H108" i="9"/>
  <c r="D15" i="53" s="1"/>
  <c r="B31" i="72" s="1"/>
  <c r="D13" i="53"/>
  <c r="D45" i="9"/>
  <c r="D53" i="9" l="1"/>
  <c r="D48" i="9" s="1"/>
  <c r="M52" i="9" s="1"/>
  <c r="C93" i="9"/>
  <c r="C86" i="9" s="1"/>
  <c r="C72" i="9"/>
  <c r="D52" i="9"/>
  <c r="D55" i="9"/>
  <c r="M53" i="9" s="1"/>
  <c r="C85" i="9"/>
  <c r="C95" i="9" s="1"/>
  <c r="C78" i="9"/>
  <c r="C73" i="9" s="1"/>
  <c r="C64" i="9"/>
  <c r="C63" i="9" s="1"/>
  <c r="C67" i="9" s="1"/>
  <c r="C68" i="9" s="1"/>
  <c r="D54" i="9" s="1"/>
  <c r="L63" i="9"/>
  <c r="M63" i="9" s="1"/>
  <c r="L64" i="9"/>
  <c r="M64" i="9" s="1"/>
  <c r="L65" i="9"/>
  <c r="M65" i="9" s="1"/>
  <c r="L66" i="9"/>
  <c r="M66" i="9" s="1"/>
  <c r="L67" i="9"/>
  <c r="M67" i="9" s="1"/>
  <c r="L68" i="9"/>
  <c r="M68" i="9" s="1"/>
  <c r="B30" i="72"/>
  <c r="D14" i="53"/>
  <c r="B32" i="72" s="1"/>
  <c r="D123" i="9"/>
  <c r="D9" i="52" s="1"/>
  <c r="D8" i="52"/>
  <c r="G14" i="74"/>
  <c r="B6" i="74" s="1"/>
  <c r="C79" i="9" l="1"/>
  <c r="D6" i="74"/>
  <c r="C6" i="74"/>
  <c r="M69" i="9"/>
  <c r="N69" i="9" s="1"/>
  <c r="C97" i="9"/>
  <c r="D58" i="9" s="1"/>
  <c r="D56" i="9" s="1"/>
  <c r="M54" i="9" s="1"/>
  <c r="C96" i="9"/>
  <c r="E96" i="9" s="1"/>
  <c r="E97" i="9" s="1"/>
  <c r="N57" i="9"/>
  <c r="N58" i="9" l="1"/>
  <c r="P57" i="9"/>
  <c r="N59" i="9"/>
  <c r="C80" i="9"/>
  <c r="E80" i="9" s="1"/>
  <c r="E81" i="9" s="1"/>
  <c r="C81" i="9"/>
  <c r="H111" i="9" l="1"/>
  <c r="N61" i="9"/>
  <c r="H112" i="9" s="1"/>
  <c r="D21" i="53" s="1"/>
  <c r="B39" i="72" s="1"/>
  <c r="N60" i="9"/>
  <c r="D19" i="53" l="1"/>
  <c r="D126" i="9"/>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<sst xmlns="http://schemas.openxmlformats.org/spreadsheetml/2006/main" count="7429" uniqueCount="3209">
  <si>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</si>
  <si>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</si>
  <si>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</si>
  <si>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</si>
  <si>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</si>
  <si>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</si>
  <si>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</si>
  <si>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</si>
  <si>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</si>
  <si>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</si>
  <si>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</si>
  <si>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</si>
  <si>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</si>
  <si>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</si>
  <si>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</si>
  <si>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</si>
  <si>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</si>
  <si>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</si>
  <si>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</si>
  <si>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</si>
  <si>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</si>
  <si>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</si>
  <si>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</si>
  <si>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</si>
  <si>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</si>
  <si>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</si>
  <si>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</si>
  <si>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</si>
  <si>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</si>
  <si>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</si>
  <si>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</si>
  <si>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</si>
  <si>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</si>
  <si>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</si>
  <si>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</si>
  <si>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</si>
  <si>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</si>
  <si>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</si>
  <si>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</si>
  <si>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</si>
  <si>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</si>
  <si>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</si>
  <si>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</si>
  <si>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</si>
  <si>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</si>
  <si>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</si>
  <si>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</si>
  <si>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</si>
  <si>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</si>
  <si>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</si>
  <si>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</si>
  <si>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</si>
  <si>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</si>
  <si>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</si>
  <si>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</si>
  <si>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</si>
  <si>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</si>
  <si>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</si>
  <si>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</si>
  <si>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</si>
  <si>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</si>
  <si>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</si>
  <si>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</si>
  <si>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</si>
  <si>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</si>
  <si>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</si>
  <si>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</si>
  <si>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</si>
  <si>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</si>
  <si>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</si>
  <si>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</si>
  <si>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</si>
  <si>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</si>
  <si>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</si>
  <si>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</si>
  <si>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</si>
  <si>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</si>
  <si>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</si>
  <si>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</si>
  <si>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</si>
  <si>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</si>
  <si>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</si>
  <si>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</si>
  <si>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</si>
  <si>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</si>
  <si>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</si>
  <si>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</si>
  <si>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</si>
  <si>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</si>
  <si>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</si>
  <si>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</si>
  <si>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</si>
  <si>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</si>
  <si>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</si>
  <si>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</si>
  <si>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</si>
  <si>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</si>
  <si>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</si>
  <si>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</si>
  <si>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</si>
  <si>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</si>
  <si>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</si>
  <si>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</si>
  <si>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</si>
  <si>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</si>
  <si>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</si>
  <si>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</si>
  <si>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</si>
  <si>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</si>
  <si>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</si>
  <si>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</si>
  <si>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</si>
  <si>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</si>
  <si>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</si>
  <si>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</si>
  <si>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</si>
  <si>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</si>
  <si>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</si>
  <si>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</si>
  <si>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</si>
  <si>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</si>
  <si>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</si>
  <si>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</si>
  <si>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</si>
  <si>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</si>
  <si>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</si>
  <si>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</si>
  <si>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</si>
  <si>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</si>
  <si>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</si>
  <si>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</si>
  <si>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</si>
  <si>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</si>
  <si>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</si>
  <si>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</si>
  <si>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</si>
  <si>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</si>
  <si>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</si>
  <si>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</si>
  <si>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</si>
  <si>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</si>
  <si>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</si>
  <si>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</si>
  <si>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</si>
  <si>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</si>
  <si>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</si>
  <si>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</si>
  <si>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</si>
  <si>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</si>
  <si>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</si>
  <si>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</si>
  <si>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</si>
  <si>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</si>
  <si>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</si>
  <si>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</si>
  <si>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</si>
  <si>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</si>
  <si>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</si>
  <si>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</si>
  <si>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</si>
  <si>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</si>
  <si>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</si>
  <si>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</si>
  <si>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</si>
  <si>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</si>
  <si>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</si>
  <si>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</si>
  <si>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</si>
  <si>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</si>
  <si>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</si>
  <si>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</si>
  <si>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</si>
  <si>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</si>
  <si>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</si>
  <si>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</si>
  <si>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</si>
  <si>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</si>
  <si>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</si>
  <si>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</si>
  <si>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</si>
  <si>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</si>
  <si>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</si>
  <si>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</si>
  <si>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</si>
  <si>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</si>
  <si>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</si>
  <si>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</si>
  <si>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</si>
  <si>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</si>
  <si>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</si>
  <si>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</si>
  <si>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</si>
  <si>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</si>
  <si>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</si>
  <si>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</si>
  <si>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</si>
  <si>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</si>
  <si>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</si>
  <si>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</si>
  <si>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</si>
  <si>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</si>
  <si>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</si>
  <si>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</si>
  <si>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</si>
  <si>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</si>
  <si>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</si>
  <si>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</si>
  <si>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</si>
  <si>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</si>
  <si>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</si>
  <si>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</si>
  <si>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</si>
  <si>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</si>
  <si>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</si>
  <si>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</si>
  <si>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</si>
  <si>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</si>
  <si>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</si>
  <si>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</si>
  <si>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</si>
  <si>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</si>
  <si>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</si>
  <si>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</si>
  <si>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</si>
  <si>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</si>
  <si>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</si>
  <si>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</si>
  <si>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</si>
  <si>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</si>
  <si>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</si>
  <si>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</si>
  <si>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</si>
  <si>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</si>
  <si>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</si>
  <si>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</si>
  <si>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</si>
  <si>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</si>
  <si>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</si>
  <si>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</si>
  <si>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</si>
  <si>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</si>
  <si>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</si>
  <si>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</si>
  <si>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</si>
  <si>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</si>
  <si>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</si>
  <si>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</si>
  <si>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</si>
  <si>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</si>
  <si>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</si>
  <si>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</si>
  <si>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</si>
  <si>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</si>
  <si>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</si>
  <si>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</si>
  <si>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</si>
  <si>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</si>
  <si>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</si>
  <si>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</si>
  <si>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</si>
  <si>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</si>
  <si>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</si>
  <si>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</si>
  <si>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</si>
  <si>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</si>
  <si>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</si>
  <si>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</si>
  <si>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</si>
  <si>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</si>
  <si>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</si>
  <si>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</si>
  <si>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</si>
  <si>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</si>
  <si>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</si>
  <si>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</si>
  <si>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</si>
  <si>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</si>
  <si>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</si>
  <si>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</si>
  <si>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</si>
  <si>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</si>
  <si>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</si>
  <si>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</si>
  <si>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</si>
  <si>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</si>
  <si>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</si>
  <si>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</si>
  <si>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</si>
  <si>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</si>
  <si>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</si>
  <si>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</si>
  <si>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</si>
  <si>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</si>
  <si>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</si>
  <si>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</si>
  <si>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</si>
  <si>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</si>
  <si>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</si>
  <si>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</si>
  <si>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</si>
  <si>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</si>
  <si>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</si>
  <si>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</si>
  <si>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</si>
  <si>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</si>
  <si>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</si>
  <si>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</si>
  <si>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</si>
  <si>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</si>
  <si>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</si>
  <si>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</si>
  <si>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</si>
  <si>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</si>
  <si>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</si>
  <si>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</si>
  <si>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</si>
  <si>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</si>
  <si>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</si>
  <si>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</si>
  <si>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</si>
  <si>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</si>
  <si>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</si>
  <si>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</si>
  <si>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</si>
  <si>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</si>
  <si>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</si>
  <si>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</si>
  <si>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</si>
  <si>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</si>
  <si>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</si>
  <si>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</si>
  <si>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</si>
  <si>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</si>
  <si>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</si>
  <si>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</si>
  <si>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</si>
  <si>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</si>
  <si>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</si>
  <si>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</si>
  <si>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</si>
  <si>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</si>
  <si>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</si>
  <si>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</si>
  <si>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</si>
  <si>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</si>
  <si>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</si>
  <si>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</si>
  <si>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</si>
  <si>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</si>
  <si>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</si>
  <si>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</si>
  <si>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</si>
  <si>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</si>
  <si>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</si>
  <si>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</si>
  <si>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</si>
  <si>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</si>
  <si>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</si>
  <si>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</si>
  <si>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</si>
  <si>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</si>
  <si>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</si>
  <si>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</si>
  <si>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</si>
  <si>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</si>
  <si>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</si>
  <si>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</si>
  <si>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</si>
  <si>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</si>
  <si>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</si>
  <si>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</si>
  <si>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</si>
  <si>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</si>
  <si>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</si>
  <si>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</si>
  <si>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</si>
  <si>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</si>
  <si>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</si>
  <si>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</si>
  <si>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</si>
  <si>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</si>
  <si>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</si>
  <si>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</si>
  <si>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</si>
  <si>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</si>
  <si>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</si>
  <si>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</si>
  <si>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</si>
  <si>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</si>
  <si>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</si>
  <si>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</si>
  <si>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</si>
  <si>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</si>
  <si>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</si>
  <si>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</si>
  <si>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</si>
  <si>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</si>
  <si>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</si>
  <si>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</si>
  <si>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</si>
  <si>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</si>
  <si>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</si>
  <si>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</si>
  <si>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</si>
  <si>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</si>
  <si>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</si>
  <si>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</si>
  <si>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</si>
  <si>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</si>
  <si>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</si>
  <si>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</si>
  <si>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</si>
  <si>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</si>
  <si>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</si>
  <si>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</si>
  <si>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</si>
  <si>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</si>
  <si>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</si>
  <si>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</si>
  <si>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</si>
  <si>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</si>
  <si>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</si>
  <si>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</si>
  <si>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</si>
  <si>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</si>
  <si>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</si>
  <si>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</si>
  <si>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</si>
  <si>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</si>
  <si>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</si>
  <si>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</si>
  <si>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</si>
  <si>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</si>
  <si>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</si>
  <si>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</si>
  <si>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</si>
  <si>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</si>
  <si>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</si>
  <si>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</si>
  <si>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</si>
  <si>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</si>
  <si>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</si>
  <si>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</si>
  <si>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</si>
  <si>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</si>
  <si>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</si>
  <si>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</si>
  <si>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</si>
  <si>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</si>
  <si>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</si>
  <si>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</si>
  <si>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</si>
  <si>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</si>
  <si>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</si>
  <si>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</si>
  <si>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</si>
  <si>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</si>
  <si>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</si>
  <si>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</si>
  <si>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</si>
  <si>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</si>
  <si>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</si>
  <si>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</si>
  <si>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</si>
  <si>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</si>
  <si>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</si>
  <si>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</si>
  <si>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</si>
  <si>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</si>
  <si>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</si>
  <si>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</si>
  <si>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</si>
  <si>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</si>
  <si>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</si>
  <si>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</si>
  <si>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</si>
  <si>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</si>
  <si>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</si>
  <si>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</si>
  <si>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</si>
  <si>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</si>
  <si>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</si>
  <si>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</si>
  <si>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</si>
  <si>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</si>
  <si>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</si>
  <si>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</si>
  <si>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</si>
  <si>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</si>
  <si>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</si>
  <si>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</si>
  <si>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</si>
  <si>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</si>
  <si>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</si>
  <si>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</si>
  <si>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</si>
  <si>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</si>
  <si>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</si>
  <si>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</si>
  <si>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</si>
  <si>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</si>
  <si>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</si>
  <si>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</si>
  <si>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</si>
  <si>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</si>
  <si>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</si>
  <si>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</si>
  <si>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</si>
  <si>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</si>
  <si>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</si>
  <si>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</si>
  <si>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</si>
  <si>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</si>
  <si>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</si>
  <si>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</si>
  <si>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</si>
  <si>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</si>
  <si>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</si>
  <si>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</si>
  <si>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</si>
  <si>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</si>
  <si>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</si>
  <si>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</si>
  <si>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</si>
  <si>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</si>
  <si>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</si>
  <si>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</si>
  <si>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</si>
  <si>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</si>
  <si>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</si>
  <si>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</si>
  <si>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</si>
  <si>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</si>
  <si>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</si>
  <si>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</si>
  <si>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</si>
  <si>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</si>
  <si>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</si>
  <si>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</si>
  <si>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</si>
  <si>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</si>
  <si>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</si>
  <si>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</si>
  <si>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</si>
  <si>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</si>
  <si>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</si>
  <si>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</si>
  <si>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</si>
  <si>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</si>
  <si>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</si>
  <si>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</si>
  <si>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</si>
  <si>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</si>
  <si>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</si>
  <si>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</si>
  <si>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</si>
  <si>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</si>
  <si>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</si>
  <si>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</si>
  <si>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</si>
  <si>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</si>
  <si>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</si>
  <si>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</si>
  <si>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</si>
  <si>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</si>
  <si>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</si>
  <si>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</si>
  <si>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</si>
  <si>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</si>
  <si>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</si>
  <si>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</si>
  <si>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</si>
  <si>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</si>
  <si>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</si>
  <si>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</si>
  <si>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</si>
  <si>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</si>
  <si>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</si>
  <si>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</si>
  <si>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</si>
  <si>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</si>
  <si>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</si>
  <si>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</si>
  <si>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</si>
  <si>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</si>
  <si>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</si>
  <si>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</si>
  <si>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</si>
  <si>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</si>
  <si>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</si>
  <si>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</si>
  <si>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</si>
  <si>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</si>
  <si>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</si>
  <si>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</si>
  <si>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</si>
  <si>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</si>
  <si>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</si>
  <si>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</si>
  <si>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</si>
  <si>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</si>
  <si>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</si>
  <si>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</si>
  <si>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</si>
  <si>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</si>
  <si>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</si>
  <si>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</si>
  <si>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</si>
  <si>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</si>
  <si>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</si>
  <si>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</si>
  <si>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</si>
  <si>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</si>
  <si>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</si>
  <si>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</si>
  <si>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</si>
  <si>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</si>
  <si>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</si>
  <si>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</si>
  <si>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</si>
  <si>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</si>
  <si>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</si>
  <si>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</si>
  <si>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</si>
  <si>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</si>
  <si>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</si>
  <si>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</si>
  <si>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</si>
  <si>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</si>
  <si>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</si>
  <si>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</si>
  <si>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</si>
  <si>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</si>
  <si>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</si>
  <si>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</si>
  <si>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</si>
  <si>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</si>
  <si>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</si>
  <si>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</si>
  <si>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</si>
  <si>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</si>
  <si>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</si>
  <si>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</si>
  <si>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</si>
  <si>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</si>
  <si>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</si>
  <si>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</si>
  <si>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</si>
  <si>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</si>
  <si>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</si>
  <si>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</si>
  <si>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</si>
  <si>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</si>
  <si>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</si>
  <si>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</si>
  <si>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</si>
  <si>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</si>
  <si>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</si>
  <si>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</si>
  <si>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</si>
  <si>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</si>
  <si>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</si>
  <si>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</si>
  <si>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</si>
  <si>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</si>
  <si>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</si>
  <si>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</si>
  <si>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</si>
  <si>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</si>
  <si>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</si>
  <si>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</si>
  <si>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</si>
  <si>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</si>
  <si>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</si>
  <si>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</si>
  <si>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</si>
  <si>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</si>
  <si>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</si>
  <si>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</si>
  <si>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</si>
  <si>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</si>
  <si>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</si>
  <si>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</si>
  <si>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</si>
  <si>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</si>
  <si>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</si>
  <si>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</si>
  <si>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</si>
  <si>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</si>
  <si>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</si>
  <si>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</si>
  <si>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</si>
  <si>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</si>
  <si>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</si>
  <si>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</si>
  <si>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</si>
  <si>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</si>
  <si>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</si>
  <si>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</si>
  <si>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</si>
  <si>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</si>
  <si>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</si>
  <si>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</si>
  <si>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</si>
  <si>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</si>
  <si>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</si>
  <si>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</si>
  <si>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</si>
  <si>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</si>
  <si>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</si>
  <si>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</si>
  <si>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</si>
  <si>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</si>
  <si>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</si>
  <si>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</si>
  <si>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</si>
  <si>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</si>
  <si>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</si>
  <si>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</si>
  <si>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</si>
  <si>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</si>
  <si>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</si>
  <si>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</si>
  <si>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</si>
  <si>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</si>
  <si>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</si>
  <si>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</si>
  <si>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</si>
  <si>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</si>
  <si>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</si>
  <si>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</si>
  <si>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</si>
  <si>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</si>
  <si>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</si>
  <si>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</si>
  <si>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</si>
  <si>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</si>
  <si>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</si>
  <si>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</si>
  <si>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</si>
  <si>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</si>
  <si>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</si>
  <si>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</si>
  <si>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</si>
  <si>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</si>
  <si>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</si>
  <si>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</si>
  <si>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</si>
  <si>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</si>
  <si>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</si>
  <si>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</si>
  <si>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</si>
  <si>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</si>
  <si>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</si>
  <si>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</si>
  <si>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</si>
  <si>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</si>
  <si>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</si>
  <si>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</si>
  <si>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</si>
  <si>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</si>
  <si>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</si>
  <si>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</si>
  <si>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</si>
  <si>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</si>
  <si>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</si>
  <si>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</si>
  <si>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</si>
  <si>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</si>
  <si>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</si>
  <si>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</si>
  <si>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</si>
  <si>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</si>
  <si>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</si>
  <si>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</si>
  <si>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</si>
  <si>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</si>
  <si>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</si>
  <si>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</si>
  <si>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</si>
  <si>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</si>
  <si>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</si>
  <si>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</si>
  <si>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</si>
  <si>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</si>
  <si>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</si>
  <si>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</si>
  <si>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</si>
  <si>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</si>
  <si>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</si>
  <si>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</si>
  <si>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</si>
  <si>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</si>
  <si>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</si>
  <si>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</si>
  <si>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</si>
  <si>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</si>
  <si>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</si>
  <si>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</si>
  <si>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</si>
  <si>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</si>
  <si>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</si>
  <si>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</si>
  <si>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</si>
  <si>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</si>
  <si>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</si>
  <si>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</si>
  <si>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</si>
  <si>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</si>
  <si>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</si>
  <si>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</si>
  <si>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</si>
  <si>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</si>
  <si>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</si>
  <si>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</si>
  <si>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</si>
  <si>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</si>
  <si>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</si>
  <si>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</si>
  <si>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</si>
  <si>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</si>
  <si>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</si>
  <si>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</si>
  <si>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</si>
  <si>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</si>
  <si>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</si>
  <si>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</si>
  <si>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</si>
  <si>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</si>
  <si>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</si>
  <si>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</si>
  <si>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</si>
  <si>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</si>
  <si>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</si>
  <si>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</si>
  <si>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</si>
  <si>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</si>
  <si>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</si>
  <si>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</si>
  <si>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</si>
  <si>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</si>
  <si>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</si>
  <si>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</si>
  <si>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</si>
  <si>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</si>
  <si>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</si>
  <si>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</si>
  <si>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</si>
  <si>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</si>
  <si>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</si>
  <si>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</si>
  <si>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</si>
  <si>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</si>
  <si>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</si>
  <si>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</si>
  <si>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</si>
  <si>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</si>
  <si>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</si>
  <si>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</si>
  <si>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</si>
  <si>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</si>
  <si>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</si>
  <si>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</si>
  <si>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</si>
  <si>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</si>
  <si>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</si>
  <si>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</si>
  <si>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</si>
  <si>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</si>
  <si>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</si>
  <si>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</si>
  <si>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</si>
  <si>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</si>
  <si>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</si>
  <si>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</si>
  <si>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</si>
  <si>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</si>
  <si>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</si>
  <si>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</si>
  <si>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</si>
  <si>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</si>
  <si>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</si>
  <si>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</si>
  <si>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</si>
  <si>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</si>
  <si>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</si>
  <si>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</si>
  <si>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</si>
  <si>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</si>
  <si>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</si>
  <si>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</si>
  <si>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</si>
  <si>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</si>
  <si>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</si>
  <si>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</si>
  <si>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</si>
  <si>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</si>
  <si>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</si>
  <si>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</si>
  <si>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</si>
  <si>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</si>
  <si>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</si>
  <si>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</si>
  <si>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</si>
  <si>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</si>
  <si>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</si>
  <si>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</si>
  <si>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</si>
  <si>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</si>
  <si>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</si>
  <si>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</si>
  <si>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</si>
  <si>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</si>
  <si>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</si>
  <si>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</si>
  <si>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</si>
  <si>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</si>
  <si>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</si>
  <si>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</si>
  <si>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</si>
  <si>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</si>
  <si>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</si>
  <si>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</si>
  <si>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</si>
  <si>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</si>
  <si>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</si>
  <si>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</si>
  <si>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</si>
  <si>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</si>
  <si>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</si>
  <si>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</si>
  <si>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</si>
  <si>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</si>
  <si>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</si>
  <si>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</si>
  <si>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</si>
  <si>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</si>
  <si>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</si>
  <si>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</si>
  <si>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</si>
  <si>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</si>
  <si>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</si>
  <si>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</si>
  <si>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</si>
  <si>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</si>
  <si>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</si>
  <si>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</si>
  <si>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</si>
  <si>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</si>
  <si>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</si>
  <si>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</si>
  <si>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</si>
  <si>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</si>
  <si>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</si>
  <si>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</si>
  <si>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</si>
  <si>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</si>
  <si>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</si>
  <si>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</si>
  <si>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</si>
  <si>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</si>
  <si>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</si>
  <si>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</si>
  <si>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</si>
  <si>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</si>
  <si>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</si>
  <si>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</si>
  <si>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</si>
  <si>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</si>
  <si>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</si>
  <si>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</si>
  <si>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</si>
  <si>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</si>
  <si>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</si>
  <si>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</si>
  <si>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</si>
  <si>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</si>
  <si>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</si>
  <si>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</si>
  <si>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</si>
  <si>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</si>
  <si>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</si>
  <si>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</si>
  <si>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</si>
  <si>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</si>
  <si>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</si>
  <si>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</si>
  <si>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</si>
  <si>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</si>
  <si>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</si>
  <si>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</si>
  <si>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</si>
  <si>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</si>
  <si>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</si>
  <si>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</si>
  <si>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</si>
  <si>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</si>
  <si>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</si>
  <si>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</si>
  <si>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</si>
  <si>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</si>
  <si>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</si>
  <si>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</si>
  <si>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</si>
  <si>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</si>
  <si>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</si>
  <si>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</si>
  <si>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</si>
  <si>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</si>
  <si>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</si>
  <si>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</si>
  <si>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</si>
  <si>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</si>
  <si>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</si>
  <si>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</si>
  <si>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</si>
  <si>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</si>
  <si>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</si>
  <si>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</si>
  <si>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</si>
  <si>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</si>
  <si>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</si>
  <si>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</si>
  <si>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</si>
  <si>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</si>
  <si>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</si>
  <si>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</si>
  <si>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</si>
  <si>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</si>
  <si>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</si>
  <si>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</si>
  <si>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</si>
  <si>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</si>
  <si>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</si>
  <si>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</si>
  <si>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</si>
  <si>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</si>
  <si>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</si>
  <si>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</si>
  <si>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</si>
  <si>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</si>
  <si>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</si>
  <si>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</si>
  <si>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</si>
  <si>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</si>
  <si>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</si>
  <si>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</si>
  <si>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</si>
  <si>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</si>
  <si>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</si>
  <si>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</si>
  <si>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</si>
  <si>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</si>
  <si>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</si>
  <si>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</si>
  <si>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</si>
  <si>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</si>
  <si>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</si>
  <si>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</si>
  <si>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</si>
  <si>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</si>
  <si>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</si>
  <si>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</si>
  <si>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</si>
  <si>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</si>
  <si>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</si>
  <si>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</si>
  <si>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</si>
  <si>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</si>
  <si>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</si>
  <si>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</si>
  <si>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</si>
  <si>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</si>
  <si>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</si>
  <si>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</si>
  <si>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</si>
  <si>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</si>
  <si>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</si>
  <si>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</si>
  <si>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</si>
  <si>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</si>
  <si>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</si>
  <si>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</si>
  <si>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</si>
  <si>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</si>
  <si>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</si>
  <si>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</si>
  <si>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</si>
  <si>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</si>
  <si>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</si>
  <si>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</si>
  <si>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</si>
  <si>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</si>
  <si>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</si>
  <si>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</si>
  <si>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</si>
  <si>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</si>
  <si>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</si>
  <si>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</si>
  <si>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</si>
  <si>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</si>
  <si>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</si>
  <si>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</si>
  <si>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</si>
  <si>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</si>
  <si>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</si>
  <si>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</si>
  <si>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</si>
  <si>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</si>
  <si>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</si>
  <si>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</si>
  <si>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</si>
  <si>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</si>
  <si>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</si>
  <si>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</si>
  <si>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</si>
  <si>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</si>
  <si>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</si>
  <si>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</si>
  <si>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</si>
  <si>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</si>
  <si>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</si>
  <si>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</si>
  <si>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</si>
  <si>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</si>
  <si>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</si>
  <si>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</si>
  <si>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</si>
  <si>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</si>
  <si>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</si>
  <si>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</si>
  <si>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</si>
  <si>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</si>
  <si>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</si>
  <si>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</si>
  <si>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</si>
  <si>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</si>
  <si>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</si>
  <si>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</si>
  <si>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</si>
  <si>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</si>
  <si>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</si>
  <si>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</si>
  <si>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</si>
  <si>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</si>
  <si>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</si>
  <si>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</si>
  <si>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</si>
  <si>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</si>
  <si>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</si>
  <si>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</si>
  <si>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</si>
  <si>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</si>
  <si>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</si>
  <si>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</si>
  <si>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</si>
  <si>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</si>
  <si>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</si>
  <si>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</si>
  <si>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</si>
  <si>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</si>
  <si>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</si>
  <si>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</si>
  <si>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</si>
  <si>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</si>
  <si>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</si>
  <si>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</si>
  <si>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</si>
  <si>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</si>
  <si>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</si>
  <si>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</si>
  <si>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</si>
  <si>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</si>
  <si>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</si>
  <si>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</si>
  <si>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</si>
  <si>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</si>
  <si>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</si>
  <si>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</si>
  <si>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</si>
  <si>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</si>
  <si>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</si>
  <si>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</si>
  <si>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</si>
  <si>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</si>
  <si>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</si>
  <si>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</si>
  <si>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</si>
  <si>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</si>
  <si>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</si>
  <si>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</si>
  <si>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</si>
  <si>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</si>
  <si>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</si>
  <si>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</si>
  <si>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</si>
  <si>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</si>
  <si>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</si>
  <si>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</si>
  <si>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</si>
  <si>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</si>
  <si>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</si>
  <si>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</si>
  <si>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</si>
  <si>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</si>
  <si>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</si>
  <si>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</si>
  <si>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</si>
  <si>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</si>
  <si>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</si>
  <si>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</si>
  <si>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</si>
  <si>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</si>
  <si>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</si>
  <si>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</si>
  <si>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</si>
  <si>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</si>
  <si>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</si>
  <si>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</si>
  <si>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</si>
  <si>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</si>
  <si>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</si>
  <si>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</si>
  <si>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</si>
  <si>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</si>
  <si>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</si>
  <si>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</si>
  <si>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</si>
  <si>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</si>
  <si>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</si>
  <si>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</si>
  <si>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</si>
  <si>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</si>
  <si>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</si>
  <si>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</si>
  <si>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</si>
  <si>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</si>
  <si>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</si>
  <si>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</si>
  <si>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</si>
  <si>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</si>
  <si>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</si>
  <si>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</si>
  <si>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</si>
  <si>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</si>
  <si>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</si>
  <si>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</si>
  <si>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</si>
  <si>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</si>
  <si>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</si>
  <si>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</si>
  <si>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</si>
  <si>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</si>
  <si>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</si>
  <si>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</si>
  <si>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</si>
  <si>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</si>
  <si>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</si>
  <si>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</si>
  <si>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</si>
  <si>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</si>
  <si>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</si>
  <si>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</si>
  <si>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</si>
  <si>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</si>
  <si>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</si>
  <si>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</si>
  <si>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</si>
  <si>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</si>
  <si>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</si>
  <si>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</si>
  <si>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</si>
  <si>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</si>
  <si>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</si>
  <si>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</si>
  <si>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</si>
  <si>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</si>
  <si>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</si>
  <si>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</si>
  <si>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</si>
  <si>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</si>
  <si>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</si>
  <si>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</si>
  <si>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</si>
  <si>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</si>
  <si>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</si>
  <si>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</si>
  <si>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</si>
  <si>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</si>
  <si>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</si>
  <si>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</si>
  <si>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</si>
  <si>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</si>
  <si>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</si>
  <si>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</si>
  <si>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</si>
  <si>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</si>
  <si>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</si>
  <si>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</si>
  <si>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</si>
  <si>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</si>
  <si>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</si>
  <si>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</si>
  <si>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</si>
  <si>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</si>
  <si>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</si>
  <si>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</si>
  <si>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</si>
  <si>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</si>
  <si>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</si>
  <si>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</si>
  <si>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</si>
  <si>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</si>
  <si>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</si>
  <si>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</si>
  <si>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</si>
  <si>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</si>
  <si>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</si>
  <si>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</si>
  <si>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</si>
  <si>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</si>
  <si>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</si>
  <si>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</si>
  <si>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</si>
  <si>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</si>
  <si>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</si>
  <si>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</si>
  <si>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</si>
  <si>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</si>
  <si>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</si>
  <si>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</si>
  <si>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</si>
  <si>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</si>
  <si>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</si>
  <si>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</si>
  <si>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</si>
  <si>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</si>
  <si>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</si>
  <si>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</si>
  <si>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</si>
  <si>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</si>
  <si>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</si>
  <si>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</si>
  <si>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</si>
  <si>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</si>
  <si>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</si>
  <si>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</si>
  <si>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</si>
  <si>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</si>
  <si>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</si>
  <si>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</si>
  <si>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</si>
  <si>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</si>
  <si>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</si>
  <si>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</si>
  <si>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</si>
  <si>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</si>
  <si>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</si>
  <si>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</si>
  <si>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</si>
  <si>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</si>
  <si>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</si>
  <si>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</si>
  <si>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</si>
  <si>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</si>
  <si>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</si>
  <si>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</si>
  <si>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</si>
  <si>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</si>
  <si>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</si>
  <si>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</si>
  <si>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</si>
  <si>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</si>
  <si>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</si>
  <si>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</si>
  <si>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</si>
  <si>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</si>
  <si>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</si>
  <si>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</si>
  <si>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</si>
  <si>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</si>
  <si>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</si>
  <si>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</si>
  <si>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</si>
  <si>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</si>
  <si>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</si>
  <si>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</si>
  <si>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</si>
  <si>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</si>
  <si>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</si>
  <si>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</si>
  <si>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</si>
  <si>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</si>
  <si>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</si>
  <si>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</si>
  <si>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</si>
  <si>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</si>
  <si>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</si>
  <si>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</si>
  <si>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</si>
  <si>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</si>
  <si>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</si>
  <si>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</si>
  <si>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</si>
  <si>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</si>
  <si>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</si>
  <si>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</si>
  <si>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</si>
  <si>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</si>
  <si>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</si>
  <si>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</si>
  <si>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</si>
  <si>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</si>
  <si>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</si>
  <si>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</si>
  <si>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</si>
  <si>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</si>
  <si>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</si>
  <si>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</si>
  <si>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</si>
  <si>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</si>
  <si>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</si>
  <si>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</si>
  <si>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</si>
  <si>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</si>
  <si>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</si>
  <si>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</si>
  <si>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</si>
  <si>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</si>
  <si>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</si>
  <si>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</si>
  <si>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</si>
  <si>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</si>
  <si>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</si>
  <si>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</si>
  <si>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</si>
  <si>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</si>
  <si>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</si>
  <si>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</si>
  <si>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</si>
  <si>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</si>
  <si>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</si>
  <si>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</si>
  <si>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</si>
  <si>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</si>
  <si>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</si>
  <si>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</si>
  <si>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</si>
  <si>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</si>
  <si>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</si>
  <si>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</si>
  <si>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</si>
  <si>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</si>
  <si>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</si>
  <si>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</si>
  <si>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</si>
  <si>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</si>
  <si>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</si>
  <si>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</si>
  <si>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</si>
  <si>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</si>
  <si>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</si>
  <si>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</si>
  <si>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</si>
  <si>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</si>
  <si>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</si>
  <si>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</si>
  <si>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</si>
  <si>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</si>
  <si>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</si>
  <si>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</si>
  <si>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</si>
  <si>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</si>
  <si>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</si>
  <si>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</si>
  <si>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</si>
  <si>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</si>
  <si>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</si>
  <si>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</si>
  <si>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</si>
  <si>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</si>
  <si>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</si>
  <si>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</si>
  <si>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</si>
  <si>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</si>
  <si>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</si>
  <si>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</si>
  <si>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</si>
  <si>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</si>
  <si>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</si>
  <si>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</si>
  <si>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</si>
  <si>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</si>
  <si>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</si>
  <si>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</si>
  <si>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</si>
  <si>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</si>
  <si>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</si>
  <si>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</si>
  <si>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</si>
  <si>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</si>
  <si>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</si>
  <si>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</si>
  <si>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</si>
  <si>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</si>
  <si>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</si>
  <si>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</si>
  <si>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</si>
  <si>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</si>
  <si>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</si>
  <si>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</si>
  <si>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</si>
  <si>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</si>
  <si>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</si>
  <si>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</si>
  <si>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</si>
  <si>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</si>
  <si>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</si>
  <si>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</si>
  <si>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</si>
  <si>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</si>
  <si>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</si>
  <si>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</si>
  <si>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</si>
  <si>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</si>
  <si>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</si>
  <si>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</si>
  <si>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</si>
  <si>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</si>
  <si>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</si>
  <si>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</si>
  <si>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</si>
  <si>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</si>
  <si>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</si>
  <si>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</si>
  <si>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</si>
  <si>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</si>
  <si>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</si>
  <si>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</si>
  <si>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</si>
  <si>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</si>
  <si>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</si>
  <si>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</si>
  <si>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</si>
  <si>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</si>
  <si>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</si>
  <si>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</si>
  <si>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</si>
  <si>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</si>
  <si>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</si>
  <si>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</si>
  <si>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</si>
  <si>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</si>
  <si>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</si>
  <si>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</si>
  <si>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</si>
  <si>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</si>
  <si>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</si>
  <si>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</si>
  <si>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</si>
  <si>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</si>
  <si>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</si>
  <si>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</si>
  <si>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</si>
  <si>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</si>
  <si>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</si>
  <si>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</si>
  <si>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</si>
  <si>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</si>
  <si>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</si>
  <si>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</si>
  <si>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</si>
  <si>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</si>
  <si>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</si>
  <si>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</si>
  <si>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</si>
  <si>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</si>
  <si>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</si>
  <si>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</si>
  <si>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</si>
  <si>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</si>
  <si>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</si>
  <si>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</si>
  <si>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</si>
  <si>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</si>
  <si>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</si>
  <si>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</si>
  <si>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</si>
  <si>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</si>
  <si>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</si>
  <si>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</si>
  <si>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</si>
  <si>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</si>
  <si>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</si>
  <si>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</si>
  <si>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</si>
  <si>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</si>
  <si>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</si>
  <si>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</si>
  <si>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</si>
  <si>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</si>
  <si>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</si>
  <si>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</si>
  <si>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</si>
  <si>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</si>
  <si>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</si>
  <si>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</si>
  <si>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</si>
  <si>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</si>
  <si>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</si>
  <si>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</si>
  <si>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</si>
  <si>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</si>
  <si>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</si>
  <si>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</si>
  <si>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</si>
  <si>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</si>
  <si>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</si>
  <si>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</si>
  <si>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</si>
  <si>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</si>
  <si>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</si>
  <si>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</si>
  <si>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</si>
  <si>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</si>
  <si>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</si>
  <si>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</si>
  <si>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</si>
  <si>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</si>
  <si>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</si>
  <si>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</si>
  <si>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</si>
  <si>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</si>
  <si>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</si>
  <si>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</si>
  <si>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</si>
  <si>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</si>
  <si>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</si>
  <si>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</si>
  <si>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</si>
  <si>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</si>
  <si>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</si>
  <si>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</si>
  <si>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</si>
  <si>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</si>
  <si>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</si>
  <si>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</si>
  <si>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</si>
  <si>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</si>
  <si>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</si>
  <si>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</si>
  <si>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</si>
  <si>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</si>
  <si>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</si>
  <si>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</si>
  <si>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</si>
  <si>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</si>
  <si>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</si>
  <si>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</si>
  <si>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</si>
  <si>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</si>
  <si>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</si>
  <si>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</si>
  <si>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</si>
  <si>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</si>
  <si>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</si>
  <si>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</si>
  <si>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</si>
  <si>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</si>
  <si>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</si>
  <si>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</si>
  <si>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</si>
  <si>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</si>
  <si>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</si>
  <si>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</si>
  <si>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</si>
  <si>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</si>
  <si>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</si>
  <si>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</si>
  <si>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</si>
  <si>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</si>
  <si>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</si>
  <si>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</si>
  <si>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</si>
  <si>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</si>
  <si>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</si>
  <si>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</si>
  <si>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</si>
  <si>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</si>
  <si>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</si>
  <si>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</si>
  <si>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</si>
  <si>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</si>
  <si>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</si>
  <si>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</si>
  <si>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</si>
  <si>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</si>
  <si>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</si>
  <si>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</si>
  <si>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</si>
  <si>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</si>
  <si>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</si>
  <si>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</si>
  <si>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</si>
  <si>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</si>
  <si>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</si>
  <si>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</si>
  <si>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</si>
  <si>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</si>
  <si>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</si>
  <si>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</si>
  <si>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</si>
  <si>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</si>
  <si>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</si>
  <si>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</si>
  <si>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</si>
  <si>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</si>
  <si>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</si>
  <si>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</si>
  <si>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</si>
  <si>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</si>
  <si>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</si>
  <si>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</si>
  <si>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</si>
  <si>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</si>
  <si>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</si>
  <si>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</si>
  <si>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</si>
  <si>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</si>
  <si>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</si>
  <si>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</si>
  <si>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</si>
  <si>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</si>
  <si>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</si>
  <si>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</si>
  <si>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</si>
  <si>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</si>
  <si>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</si>
  <si>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</si>
  <si>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</si>
  <si>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</si>
  <si>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</si>
  <si>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</si>
  <si>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</si>
  <si>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</si>
  <si>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</si>
  <si>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</si>
  <si>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</si>
  <si>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</si>
  <si>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</si>
  <si>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</si>
  <si>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</si>
  <si>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</si>
  <si>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</si>
  <si>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</si>
  <si>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</si>
  <si>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</si>
  <si>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</si>
  <si>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</si>
  <si>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</si>
  <si>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</si>
  <si>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</si>
  <si>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</si>
  <si>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</si>
  <si>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</si>
  <si>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</si>
  <si>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</si>
  <si>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</si>
  <si>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</si>
  <si>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</si>
  <si>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</si>
  <si>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</si>
  <si>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</si>
  <si>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</si>
  <si>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</si>
  <si>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</si>
  <si>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</si>
  <si>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</si>
  <si>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</si>
  <si>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</si>
  <si>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</si>
  <si>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</si>
  <si>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</si>
  <si>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</si>
  <si>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</si>
  <si>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</si>
  <si>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</si>
  <si>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</si>
  <si>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</si>
  <si>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</si>
  <si>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</si>
  <si>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</si>
  <si>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</si>
  <si>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</si>
  <si>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</si>
  <si>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</si>
  <si>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</si>
  <si>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</si>
  <si>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</si>
  <si>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</si>
  <si>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</si>
  <si>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</si>
  <si>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</si>
  <si>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</si>
  <si>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</si>
  <si>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</si>
  <si>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</si>
  <si>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</si>
  <si>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</si>
  <si>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</si>
  <si>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</si>
  <si>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</si>
  <si>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</si>
  <si>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</si>
  <si>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</si>
  <si>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</si>
  <si>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</si>
  <si>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</si>
  <si>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</si>
  <si>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</si>
  <si>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</si>
  <si>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</si>
  <si>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</si>
  <si>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</si>
  <si>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</si>
  <si>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</si>
  <si>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</si>
  <si>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</si>
  <si>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</si>
  <si>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</si>
  <si>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</si>
  <si>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</si>
  <si>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</si>
  <si>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</si>
  <si>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</si>
  <si>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</si>
  <si>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</si>
  <si>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</si>
  <si>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</si>
  <si>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</si>
  <si>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</si>
  <si>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</si>
  <si>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</si>
  <si>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</si>
  <si>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</si>
  <si>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</si>
  <si>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</si>
  <si>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</si>
  <si>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</si>
  <si>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</si>
  <si>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</si>
  <si>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</si>
  <si>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</si>
  <si>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</si>
  <si>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</si>
  <si>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</si>
  <si>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</si>
  <si>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</si>
  <si>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</si>
  <si>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</si>
  <si>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</si>
  <si>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</si>
  <si>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</si>
  <si>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</si>
  <si>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</si>
  <si>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</si>
  <si>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</si>
  <si>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</si>
  <si>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</si>
  <si>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</si>
  <si>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</si>
  <si>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</si>
  <si>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</si>
  <si>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</si>
  <si>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</si>
  <si>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</si>
  <si>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</si>
  <si>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</si>
  <si>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</si>
  <si>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</si>
  <si>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</si>
  <si>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</si>
  <si>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</si>
  <si>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</si>
  <si>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</si>
  <si>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</si>
  <si>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</si>
  <si>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</si>
  <si>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</si>
  <si>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</si>
  <si>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</si>
  <si>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</si>
  <si>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</si>
  <si>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</si>
  <si>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</si>
  <si>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</si>
  <si>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</si>
  <si>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</si>
  <si>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</si>
  <si>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</si>
  <si>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</si>
  <si>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</si>
  <si>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</si>
  <si>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</si>
  <si>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</si>
  <si>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</si>
  <si>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</si>
  <si>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</si>
  <si>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</si>
  <si>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</si>
  <si>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</si>
  <si>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</si>
  <si>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</si>
  <si>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</si>
  <si>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</si>
  <si>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</si>
  <si>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</si>
  <si>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</si>
  <si>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</si>
  <si>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</si>
  <si>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</si>
  <si>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</si>
  <si>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</si>
  <si>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</si>
  <si>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</si>
  <si>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</si>
  <si>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</si>
  <si>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</si>
  <si>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</si>
  <si>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</si>
  <si>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</si>
  <si>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</si>
  <si>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</si>
  <si>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</si>
  <si>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</si>
  <si>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</si>
  <si>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</si>
  <si>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</si>
  <si>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</si>
  <si>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</si>
  <si>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</si>
  <si>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</si>
  <si>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</si>
  <si>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</si>
  <si>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</si>
  <si>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</si>
  <si>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</si>
  <si>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</si>
  <si>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</si>
  <si>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</si>
  <si>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</si>
  <si>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</si>
  <si>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</si>
  <si>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</si>
  <si>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</si>
  <si>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</si>
  <si>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</si>
  <si>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</si>
  <si>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</si>
  <si>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</si>
  <si>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</si>
  <si>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</si>
  <si>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</si>
  <si>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</si>
  <si>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</si>
  <si>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</si>
  <si>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</si>
  <si>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</si>
  <si>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</si>
  <si>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</si>
  <si>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</si>
  <si>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</si>
  <si>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</si>
  <si>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</si>
  <si>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</si>
  <si>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</si>
  <si>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</si>
  <si>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</si>
  <si>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</si>
  <si>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</si>
  <si>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</si>
  <si>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</si>
  <si>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</si>
  <si>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</si>
  <si>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</si>
  <si>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</si>
  <si>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</si>
  <si>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</si>
  <si>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</si>
  <si>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</si>
  <si>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</si>
  <si>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</si>
  <si>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</si>
  <si>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</si>
  <si>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</si>
  <si>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</si>
  <si>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</si>
  <si>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</si>
  <si>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</si>
  <si>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</si>
  <si>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</si>
  <si>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</si>
  <si>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</si>
  <si>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</si>
  <si>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</si>
  <si>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</si>
  <si>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</si>
  <si>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</si>
  <si>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</si>
  <si>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</si>
  <si>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</si>
  <si>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</si>
  <si>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</si>
  <si>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</si>
  <si>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</si>
  <si>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</si>
  <si>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</si>
  <si>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</si>
  <si>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</si>
  <si>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</si>
  <si>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</si>
  <si>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</si>
  <si>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</si>
  <si>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</si>
  <si>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</si>
  <si>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</si>
  <si>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</si>
  <si>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</si>
  <si>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</si>
  <si>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</si>
  <si>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</si>
  <si>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</si>
  <si>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</si>
  <si>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</si>
  <si>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</si>
  <si>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</si>
  <si>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</si>
  <si>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</si>
  <si>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</si>
  <si>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</si>
  <si>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</si>
  <si>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</si>
  <si>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</si>
  <si>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</si>
  <si>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</si>
  <si>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</si>
  <si>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</si>
  <si>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</si>
  <si>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</si>
  <si>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</si>
  <si>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</si>
  <si>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</si>
  <si>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</si>
  <si>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</si>
  <si>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</si>
  <si>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</si>
  <si>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</si>
  <si>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</si>
  <si>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</si>
  <si>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</si>
  <si>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</si>
  <si>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</si>
  <si>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</si>
  <si>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</si>
  <si>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</si>
  <si>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</si>
  <si>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</si>
  <si>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</si>
  <si>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</si>
  <si>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</si>
  <si>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</si>
  <si>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</si>
  <si>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</si>
  <si>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</si>
  <si>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</si>
  <si>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</si>
  <si>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</si>
  <si>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</si>
  <si>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</si>
  <si>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</si>
  <si>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</si>
  <si>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</si>
  <si>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</si>
  <si>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</si>
  <si>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</si>
  <si>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</si>
  <si>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</si>
  <si>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</si>
  <si>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</si>
  <si>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</si>
  <si>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</si>
  <si>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</si>
  <si>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</si>
  <si>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</si>
  <si>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</si>
  <si>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</si>
  <si>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</si>
  <si>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</si>
  <si>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</si>
  <si>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</si>
  <si>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</si>
  <si>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</si>
  <si>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</si>
  <si>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</si>
  <si>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</si>
  <si>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</si>
  <si>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</si>
  <si>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</si>
  <si>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</si>
  <si>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</si>
  <si>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</si>
  <si>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</si>
  <si>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</si>
  <si>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</si>
  <si>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</si>
  <si>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</si>
  <si>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</si>
  <si>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</si>
  <si>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</si>
  <si>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</si>
  <si>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</si>
  <si>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</si>
  <si>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</si>
  <si>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</si>
  <si>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</si>
  <si>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</si>
  <si>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</si>
  <si>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</si>
  <si>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</si>
  <si>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</si>
  <si>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</si>
  <si>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</si>
  <si>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</si>
  <si>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</si>
  <si>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</si>
  <si>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</si>
  <si>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</si>
  <si>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</si>
  <si>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</si>
  <si>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</si>
  <si>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</si>
  <si>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</si>
  <si>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</si>
  <si>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</si>
  <si>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</si>
  <si>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</si>
  <si>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</si>
  <si>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</si>
  <si>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</si>
  <si>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</si>
  <si>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</si>
  <si>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</si>
  <si>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</si>
  <si>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</si>
  <si>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</si>
  <si>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</si>
  <si>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</si>
  <si>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</si>
  <si>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</si>
  <si>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</si>
  <si>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</si>
  <si>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</si>
  <si>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</si>
  <si>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</si>
  <si>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</si>
  <si>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</si>
  <si>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</si>
  <si>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</si>
  <si>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</si>
  <si>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</si>
  <si>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</si>
  <si>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</si>
  <si>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</si>
  <si>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</si>
  <si>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</si>
  <si>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</si>
  <si>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</si>
  <si>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</si>
  <si>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</si>
  <si>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</si>
  <si>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</si>
  <si>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</si>
  <si>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</si>
  <si>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</si>
  <si>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</si>
  <si>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</si>
  <si>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</si>
  <si>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</si>
  <si>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</si>
  <si>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</si>
  <si>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</si>
  <si>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</si>
  <si>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</si>
  <si>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</si>
  <si>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</si>
  <si>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</si>
  <si>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</si>
  <si>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</si>
  <si>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</si>
  <si>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</si>
  <si>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</si>
  <si>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</si>
  <si>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</si>
  <si>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</si>
  <si>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</si>
  <si>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</si>
  <si>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</si>
  <si>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</si>
  <si>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</si>
  <si>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</si>
  <si>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</si>
  <si>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</si>
  <si>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</si>
  <si>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</si>
  <si>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</si>
  <si>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</si>
  <si>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</si>
  <si>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</si>
  <si>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</si>
  <si>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</si>
  <si>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</si>
  <si>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</si>
  <si>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</si>
  <si>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</si>
  <si>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</si>
  <si>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</si>
  <si>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</si>
  <si>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</si>
  <si>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</si>
  <si>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</si>
  <si>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</si>
  <si>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</si>
  <si>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</si>
  <si>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</si>
  <si>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</si>
  <si>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</si>
  <si>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</si>
  <si>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</si>
  <si>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</si>
  <si>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</si>
  <si>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</si>
  <si>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</si>
  <si>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</si>
  <si>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</si>
  <si>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</si>
  <si>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</si>
  <si>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</si>
  <si>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</si>
  <si>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</si>
  <si>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</si>
  <si>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</si>
  <si>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</si>
  <si>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</si>
  <si>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</si>
  <si>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</si>
  <si>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</si>
  <si>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</si>
  <si>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</si>
  <si>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</si>
  <si>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</si>
  <si>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</si>
  <si>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</si>
  <si>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</si>
  <si>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</si>
  <si>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</si>
  <si>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</si>
  <si>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</si>
  <si>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</si>
  <si>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</si>
  <si>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</si>
  <si>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</si>
  <si>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</si>
  <si>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</si>
  <si>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</si>
  <si>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</si>
  <si>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</si>
  <si>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</si>
  <si>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</si>
  <si>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</si>
  <si>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</si>
  <si>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</si>
  <si>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</si>
  <si>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</si>
  <si>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</si>
  <si>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</si>
  <si>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</si>
  <si>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</si>
  <si>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</si>
  <si>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</si>
  <si>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</si>
  <si>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</si>
  <si>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</si>
  <si>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</si>
  <si>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</si>
  <si>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</si>
  <si>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</si>
  <si>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</si>
  <si>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</si>
  <si>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</si>
  <si>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</si>
  <si>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</si>
  <si>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</si>
  <si>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</si>
  <si>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</si>
  <si>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</si>
  <si>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</si>
  <si>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</si>
  <si>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</si>
  <si>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</si>
  <si>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</si>
  <si>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</si>
  <si>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</si>
  <si>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</si>
  <si>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</si>
  <si>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</si>
  <si>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</si>
  <si>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</si>
  <si>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</si>
  <si>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</si>
  <si>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</si>
  <si>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</si>
  <si>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</si>
  <si>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</si>
  <si>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</si>
  <si>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</si>
  <si>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</si>
  <si>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</si>
  <si>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</si>
  <si>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</si>
  <si>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</si>
  <si>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</si>
  <si>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</si>
  <si>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</si>
  <si>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</si>
  <si>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</si>
  <si>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</si>
  <si>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</si>
  <si>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</si>
  <si>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</si>
  <si>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</si>
  <si>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</si>
  <si>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</si>
  <si>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</si>
  <si>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</si>
  <si>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</si>
  <si>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</si>
  <si>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</si>
  <si>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</si>
  <si>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</si>
  <si>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</si>
  <si>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</si>
  <si>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</si>
  <si>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</si>
  <si>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</si>
  <si>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</si>
  <si>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</si>
  <si>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</si>
  <si>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</si>
  <si>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</si>
  <si>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</si>
  <si>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</si>
  <si>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</si>
  <si>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</si>
  <si>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</si>
  <si>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</si>
  <si>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</si>
  <si>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</si>
  <si>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</si>
  <si>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</si>
  <si>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</si>
  <si>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</si>
  <si>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</si>
  <si>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</si>
  <si>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</si>
  <si>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</si>
  <si>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</si>
  <si>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</si>
  <si>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</si>
  <si>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</si>
  <si>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</si>
  <si>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</si>
  <si>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</si>
  <si>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</si>
  <si>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</si>
  <si>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</si>
  <si>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</si>
  <si>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</si>
  <si>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</si>
  <si>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</si>
  <si>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</si>
  <si>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</si>
  <si>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</si>
  <si>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</si>
  <si>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</si>
  <si>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</si>
  <si>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</si>
  <si>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</si>
  <si>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</si>
  <si>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</si>
  <si>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</si>
  <si>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</si>
  <si>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</si>
  <si>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</si>
  <si>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</si>
  <si>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</si>
  <si>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</si>
  <si>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</si>
  <si>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</si>
  <si>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</si>
  <si>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</si>
  <si>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</si>
  <si>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</si>
  <si>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</si>
  <si>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</si>
  <si>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</si>
  <si>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</si>
  <si>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</si>
  <si>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</si>
  <si>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</si>
  <si>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</si>
  <si>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</si>
  <si>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</si>
  <si>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</si>
  <si>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</si>
  <si>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</si>
  <si>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</si>
  <si>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</si>
  <si>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</si>
  <si>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</si>
  <si>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</si>
  <si>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</si>
  <si>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</si>
  <si>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</si>
  <si>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</si>
  <si>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</si>
  <si>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</si>
  <si>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</si>
  <si>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</si>
  <si>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</si>
  <si>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</si>
  <si>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</si>
  <si>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</si>
  <si>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</si>
  <si>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</si>
  <si>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</si>
  <si>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</si>
  <si>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</si>
  <si>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</si>
  <si>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</si>
  <si>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</si>
  <si>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</si>
  <si>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</si>
  <si>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</si>
  <si>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</si>
  <si>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</si>
  <si>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</si>
  <si>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</si>
  <si>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</si>
  <si>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</si>
  <si>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</si>
  <si>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</si>
  <si>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</si>
  <si>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</si>
  <si>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</si>
  <si>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</si>
  <si>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</si>
  <si>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</si>
  <si>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</si>
  <si>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</si>
  <si>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</si>
  <si>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</si>
  <si>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</si>
  <si>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</si>
  <si>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</si>
  <si>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</si>
  <si>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</si>
  <si>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</si>
  <si>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</si>
  <si>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</si>
  <si>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</si>
  <si>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</si>
  <si>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</si>
  <si>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</si>
  <si>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</si>
  <si>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</si>
  <si>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</si>
  <si>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</si>
  <si>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</si>
  <si>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</si>
  <si>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</si>
  <si>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</si>
  <si>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</si>
  <si>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</si>
  <si>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</si>
  <si>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</si>
  <si>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</si>
  <si>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</si>
  <si>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</si>
  <si>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</si>
  <si>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</si>
  <si>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</si>
  <si>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</si>
  <si>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</si>
  <si>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</si>
  <si>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</si>
  <si>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</si>
  <si>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</si>
  <si>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</si>
  <si>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</si>
  <si>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</si>
  <si>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</si>
  <si>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</si>
  <si>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</si>
  <si>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</si>
  <si>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</si>
  <si>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</si>
  <si>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</si>
  <si>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</si>
  <si>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</si>
  <si>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</si>
  <si>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</si>
  <si>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</si>
  <si>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</si>
  <si>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</si>
  <si>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</si>
  <si>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</si>
  <si>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</si>
  <si>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</si>
  <si>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</si>
  <si>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</si>
  <si>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</si>
  <si>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</si>
  <si>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</si>
  <si>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</si>
  <si>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</si>
  <si>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</si>
  <si>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</si>
  <si>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</si>
  <si>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</si>
  <si>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</si>
  <si>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</si>
  <si>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</si>
  <si>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</si>
  <si>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</si>
  <si>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</si>
  <si>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</si>
  <si>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</si>
  <si>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</si>
  <si>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</si>
  <si>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</si>
  <si>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</si>
  <si>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</si>
  <si>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</si>
  <si>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</si>
  <si>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</si>
  <si>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</si>
  <si>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</si>
  <si>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</si>
  <si>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</si>
  <si>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</si>
  <si>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</si>
  <si>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</si>
  <si>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</si>
  <si>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</si>
  <si>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</si>
  <si>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</si>
  <si>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</si>
  <si>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</si>
  <si>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</si>
  <si>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</si>
  <si>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</si>
  <si>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</si>
  <si>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</si>
  <si>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</si>
  <si>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</si>
  <si>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</si>
  <si>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</si>
  <si>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</si>
  <si>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</si>
  <si>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</si>
  <si>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</si>
  <si>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</si>
  <si>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</si>
  <si>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</si>
  <si>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</si>
  <si>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</si>
  <si>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</si>
  <si>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</si>
  <si>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</si>
  <si>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</si>
  <si>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</si>
  <si>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</si>
  <si>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</si>
  <si>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</si>
  <si>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</si>
  <si>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</si>
  <si>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</si>
  <si>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</si>
  <si>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</si>
  <si>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</si>
  <si>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</si>
  <si>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</si>
  <si>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</si>
  <si>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</si>
  <si>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</si>
  <si>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</si>
  <si>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</si>
  <si>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</si>
  <si>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</si>
  <si>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</si>
  <si>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</si>
  <si>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</si>
  <si>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</si>
  <si>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</si>
  <si>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</si>
  <si>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</si>
  <si>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</si>
  <si>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</si>
  <si>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</si>
  <si>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</si>
  <si>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</si>
  <si>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</si>
  <si>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</si>
  <si>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</si>
  <si>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</si>
  <si>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</si>
  <si>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</si>
  <si>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</si>
  <si>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</si>
  <si>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</si>
  <si>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</si>
  <si>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</si>
  <si>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</si>
  <si>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</si>
  <si>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</si>
  <si>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</si>
  <si>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</si>
  <si>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</si>
  <si>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</si>
  <si>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</si>
  <si>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</si>
  <si>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</si>
  <si>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</si>
  <si>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</si>
  <si>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</si>
  <si>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</si>
  <si>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</si>
  <si>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</si>
  <si>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</si>
  <si>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</si>
  <si>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</si>
  <si>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</si>
  <si>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</si>
  <si>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</si>
  <si>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</si>
  <si>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</si>
  <si>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</si>
  <si>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</si>
  <si>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</si>
  <si>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</si>
  <si>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</si>
  <si>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</si>
  <si>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</si>
  <si>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</si>
  <si>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</si>
  <si>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</si>
  <si>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</si>
  <si>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</si>
  <si>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</si>
  <si>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</si>
  <si>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</si>
  <si>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</si>
  <si>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</si>
  <si>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</si>
  <si>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</si>
  <si>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</si>
  <si>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</si>
  <si>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</si>
  <si>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</si>
  <si>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</si>
  <si>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</si>
  <si>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</si>
  <si>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</si>
  <si>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</si>
  <si>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</si>
  <si>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</si>
  <si>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</si>
  <si>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</si>
  <si>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</si>
  <si>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</si>
  <si>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</si>
  <si>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</si>
  <si>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</si>
  <si>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</si>
  <si>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</si>
  <si>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</si>
  <si>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</si>
  <si>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</si>
  <si>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</si>
  <si>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</si>
  <si>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</si>
  <si>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</si>
  <si>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</si>
  <si>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</si>
  <si>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</si>
  <si>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</si>
  <si>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</si>
  <si>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</si>
  <si>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</si>
  <si>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</si>
  <si>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</si>
  <si>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</si>
  <si>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</si>
  <si>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</si>
  <si>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</si>
  <si>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</si>
  <si>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</si>
  <si>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</si>
  <si>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</si>
  <si>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</si>
  <si>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</si>
  <si>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</si>
  <si>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</si>
  <si>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</si>
  <si>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</si>
  <si>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</si>
  <si>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</si>
  <si>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</si>
  <si>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</si>
  <si>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</si>
  <si>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</si>
  <si>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</si>
  <si>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</si>
  <si>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</si>
  <si>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</si>
  <si>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</si>
  <si>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</si>
  <si>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</si>
  <si>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</si>
  <si>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</si>
  <si>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</si>
  <si>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</si>
  <si>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</si>
  <si>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</si>
  <si>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</si>
  <si>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</si>
  <si>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</si>
  <si>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</si>
  <si>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</si>
  <si>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</si>
  <si>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</si>
  <si>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</si>
  <si>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</si>
  <si>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</si>
  <si>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</si>
  <si>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</si>
  <si>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</si>
  <si>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</si>
  <si>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</si>
  <si>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</si>
  <si>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</si>
  <si>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</si>
  <si>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</si>
  <si>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</si>
  <si>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</si>
  <si>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</si>
  <si>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</si>
  <si>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</si>
  <si>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</si>
  <si>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</si>
  <si>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</si>
  <si>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</si>
  <si>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</si>
  <si>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</si>
  <si>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</si>
  <si>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</si>
  <si>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</si>
  <si>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</si>
  <si>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</si>
  <si>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</si>
  <si>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</si>
  <si>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</si>
  <si>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</si>
  <si>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</si>
  <si>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</si>
  <si>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</si>
  <si>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</si>
  <si>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</si>
  <si>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</si>
  <si>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</si>
  <si>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</si>
  <si>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</si>
  <si>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</si>
  <si>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</si>
  <si>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</si>
  <si>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</si>
  <si>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</si>
  <si>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</si>
  <si>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</si>
  <si>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</si>
  <si>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</si>
  <si>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</si>
  <si>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</si>
  <si>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</si>
  <si>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</si>
  <si>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</si>
  <si>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</si>
  <si>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</si>
  <si>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</si>
  <si>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</si>
  <si>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</si>
  <si>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</si>
  <si>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</si>
  <si>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</si>
  <si>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</si>
  <si>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</si>
  <si>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</si>
  <si>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</si>
  <si>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</si>
  <si>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</si>
  <si>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</si>
  <si>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</si>
  <si>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</si>
  <si>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</si>
  <si>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</si>
  <si>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</si>
  <si>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</si>
  <si>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</si>
  <si>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</si>
  <si>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</si>
  <si>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</si>
  <si>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</si>
  <si>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</si>
  <si>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</si>
  <si>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</si>
  <si>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</si>
  <si>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</si>
  <si>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</si>
  <si>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</si>
  <si>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</si>
  <si>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</si>
  <si>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</si>
  <si>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</si>
  <si>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</si>
  <si>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</si>
  <si>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</si>
  <si>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</si>
  <si>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</si>
  <si>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</si>
  <si>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</si>
  <si>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</si>
  <si>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</si>
  <si>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</si>
  <si>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</si>
  <si>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</si>
  <si>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</si>
  <si>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</si>
  <si>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</si>
  <si>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</si>
  <si>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</si>
  <si>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</si>
  <si>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</si>
  <si>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</si>
  <si>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</si>
  <si>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</si>
  <si>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</si>
  <si>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</si>
  <si>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</si>
  <si>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</si>
  <si>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</si>
  <si>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</si>
  <si>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</si>
  <si>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</si>
  <si>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</si>
  <si>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</si>
  <si>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</si>
  <si>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</si>
  <si>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</si>
  <si>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</si>
  <si>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</si>
  <si>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</si>
  <si>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</si>
  <si>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</si>
  <si>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</si>
  <si>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</si>
  <si>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</si>
  <si>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</si>
  <si>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</si>
  <si>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</si>
  <si>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</si>
  <si>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</si>
  <si>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</si>
  <si>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</si>
  <si>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</si>
  <si>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</si>
  <si>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</si>
  <si>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</si>
  <si>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</si>
  <si>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</si>
  <si>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</si>
  <si>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</si>
  <si>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</si>
  <si>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</si>
  <si>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</si>
  <si>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</si>
  <si>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</si>
  <si>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</si>
  <si>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</si>
  <si>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</si>
  <si>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</si>
  <si>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</si>
  <si>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</si>
  <si>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</si>
  <si>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</si>
  <si>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</si>
  <si>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</si>
  <si>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</si>
  <si>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</si>
  <si>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</si>
  <si>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</si>
  <si>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</si>
  <si>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</si>
  <si>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</si>
  <si>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</si>
  <si>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</si>
  <si>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</si>
  <si>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</si>
  <si>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</si>
  <si>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</si>
  <si>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</si>
  <si>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</si>
  <si>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</si>
  <si>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</si>
  <si>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</si>
  <si>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</si>
  <si>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</si>
  <si>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</si>
  <si>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</si>
  <si>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</si>
  <si>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</si>
  <si>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</si>
  <si>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</si>
  <si>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</si>
  <si>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</si>
  <si>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</si>
  <si>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</si>
  <si>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</si>
  <si>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</si>
  <si>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</si>
  <si>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</si>
  <si>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</si>
  <si>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</si>
  <si>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</si>
  <si>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</si>
  <si>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</si>
  <si>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</si>
  <si>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</si>
  <si>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</si>
  <si>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</si>
  <si>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</si>
  <si>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</si>
  <si>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</si>
  <si>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</si>
  <si>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</si>
  <si>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</si>
  <si>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</si>
  <si>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</si>
  <si>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</si>
  <si>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</si>
  <si>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</si>
  <si>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</si>
  <si>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</si>
  <si>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</si>
  <si>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</si>
  <si>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</si>
  <si>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</si>
  <si>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</si>
  <si>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</si>
  <si>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</si>
  <si>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</si>
  <si>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</si>
  <si>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</si>
  <si>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</si>
  <si>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</si>
  <si>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</si>
  <si>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</si>
  <si>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</si>
  <si>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</si>
  <si>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</si>
  <si>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</si>
  <si>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</si>
  <si>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</si>
  <si>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</si>
  <si>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</si>
  <si>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</si>
  <si>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</si>
  <si>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</si>
  <si>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</si>
  <si>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</si>
  <si>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</si>
  <si>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</si>
  <si>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</si>
  <si>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</si>
  <si>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</si>
  <si>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</si>
  <si>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</si>
  <si>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</si>
  <si>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</si>
  <si>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</si>
  <si>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</si>
  <si>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</si>
  <si>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</si>
  <si>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</si>
  <si>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</si>
  <si>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</si>
  <si>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</si>
  <si>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</si>
  <si>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</si>
  <si>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</si>
  <si>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</si>
  <si>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</si>
  <si>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</si>
  <si>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</si>
  <si>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</si>
  <si>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</si>
  <si>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</si>
  <si>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</si>
  <si>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</si>
  <si>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</si>
  <si>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</si>
  <si>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</si>
  <si>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</si>
  <si>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</si>
  <si>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</si>
  <si>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</si>
  <si>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</si>
  <si>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</si>
  <si>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</si>
  <si>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</si>
  <si>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</si>
  <si>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</si>
  <si>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</si>
  <si>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</si>
  <si>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</si>
  <si>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</si>
  <si>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</si>
  <si>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</si>
  <si>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</si>
  <si>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</si>
  <si>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</si>
  <si>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</si>
  <si>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</si>
  <si>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</si>
  <si>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</si>
  <si>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</si>
  <si>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</si>
  <si>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</si>
  <si>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</si>
  <si>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</si>
  <si>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</si>
  <si>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</si>
  <si>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</si>
  <si>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</si>
  <si>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</si>
  <si>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</si>
  <si>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</si>
  <si>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</si>
  <si>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</si>
  <si>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</si>
  <si>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</si>
  <si>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</si>
  <si>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</si>
  <si>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</si>
  <si>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</si>
  <si>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</si>
  <si>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</si>
  <si>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</si>
  <si>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</si>
  <si>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</si>
  <si>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</si>
  <si>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</si>
  <si>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</si>
  <si>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</si>
  <si>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</si>
  <si>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</si>
  <si>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</si>
  <si>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</si>
  <si>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</si>
  <si>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</si>
  <si>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</si>
  <si>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</si>
  <si>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</si>
  <si>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</si>
  <si>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</si>
  <si>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</si>
  <si>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</si>
  <si>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</si>
  <si>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</si>
  <si>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</si>
  <si>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</si>
  <si>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</si>
  <si>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</si>
  <si>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</si>
  <si>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</si>
  <si>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</si>
  <si>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</si>
  <si>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</si>
  <si>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</si>
  <si>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</si>
  <si>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</si>
  <si>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</si>
  <si>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</si>
  <si>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</si>
  <si>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</si>
  <si>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</si>
  <si>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</si>
  <si>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</si>
  <si>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</si>
  <si>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</si>
  <si>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</si>
  <si>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</si>
  <si>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</si>
  <si>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</si>
  <si>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</si>
  <si>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</si>
  <si>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</si>
  <si>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</si>
  <si>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</si>
  <si>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</si>
  <si>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</si>
  <si>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</si>
  <si>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</si>
  <si>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</si>
  <si>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</si>
  <si>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</si>
  <si>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</si>
  <si>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</si>
  <si>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</si>
  <si>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</si>
  <si>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</si>
  <si>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</si>
  <si>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</si>
  <si>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</si>
  <si>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</si>
  <si>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</si>
  <si>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</si>
  <si>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</si>
  <si>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</si>
  <si>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</si>
  <si>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</si>
  <si>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</si>
  <si>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</si>
  <si>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</si>
  <si>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</si>
  <si>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</si>
  <si>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</si>
  <si>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</si>
  <si>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</si>
  <si>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</si>
  <si>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</si>
  <si>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</si>
  <si>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</si>
  <si>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</si>
  <si>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</si>
  <si>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</si>
  <si>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</si>
  <si>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</si>
  <si>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</si>
  <si>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</si>
  <si>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</si>
  <si>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</si>
  <si>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</si>
  <si>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</si>
  <si>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</si>
  <si>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</si>
  <si>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</si>
  <si>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</si>
  <si>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</si>
  <si>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</si>
  <si>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</si>
  <si>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屋面附属层</t>
    <phoneticPr fontId="140" type="noConversion"/>
  </si>
  <si>
    <t>地下夹层2</t>
    <phoneticPr fontId="140" type="noConversion"/>
  </si>
  <si>
    <t>地下夹层1</t>
    <phoneticPr fontId="140" type="noConversion"/>
  </si>
  <si>
    <t>是</t>
  </si>
  <si>
    <t>地上</t>
  </si>
  <si>
    <t>独立商业</t>
  </si>
  <si>
    <t>地下</t>
  </si>
  <si>
    <t>车库</t>
  </si>
  <si>
    <t>商业</t>
    <phoneticPr fontId="7" type="noConversion"/>
  </si>
  <si>
    <t>利息：取LPR加浮动点数</t>
  </si>
  <si>
    <t>成新度</t>
  </si>
  <si>
    <t>收益法</t>
  </si>
  <si>
    <t>押一</t>
  </si>
  <si>
    <t>按租金收入计税</t>
  </si>
  <si>
    <t>钢混</t>
  </si>
  <si>
    <t>非生产用房</t>
  </si>
  <si>
    <t>否</t>
  </si>
  <si>
    <t>未包含在土地购买价格中</t>
  </si>
  <si>
    <t>已包含在土地取得成本中</t>
  </si>
  <si>
    <t>全部缴纳</t>
  </si>
  <si>
    <t>成本法</t>
  </si>
  <si>
    <t>总价</t>
  </si>
  <si>
    <t>成本比率</t>
  </si>
  <si>
    <t>情况3</t>
  </si>
  <si>
    <t>正常</t>
  </si>
  <si>
    <t>自行开发建设</t>
  </si>
  <si>
    <t>非个人房产</t>
  </si>
  <si>
    <t>企业提供（在右侧录入）</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</si>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</sst>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0" xfId="0" applyFont="1" applyAlignment="1">
      <alignment horizontal="left" vertical="center"/>
    </xf>
    <xf numFmtId="0" fontId="255" fillId="5" borderId="0" xfId="0" applyFont="1" applyFill="1" applyAlignment="1">
      <alignment horizontal="left" vertical="center"/>
    </xf>
    <xf numFmtId="177" fontId="79" fillId="0" borderId="1" xfId="1" applyNumberFormat="1" applyFont="1" applyFill="1" applyBorder="1" applyAlignment="1" applyProtection="1">
      <alignment vertical="center"/>
      <protection locked="0" hidden="1"/>
    </xf>
    <xf numFmtId="176" fontId="46" fillId="10" borderId="24" xfId="1" applyNumberFormat="1" applyFont="1" applyFill="1" applyBorder="1" applyAlignment="1" applyProtection="1">
      <alignment horizontal="center" vertical="center"/>
      <protection locked="0"/>
    </xf>
    <xf numFmtId="181" fontId="103" fillId="10" borderId="1" xfId="0" applyNumberFormat="1" applyFont="1" applyFill="1" applyBorder="1" applyAlignment="1" applyProtection="1">
      <alignment horizontal="center" vertical="center"/>
      <protection locked="0"/>
    </xf>
    <xf numFmtId="181" fontId="46" fillId="10" borderId="1" xfId="0" applyNumberFormat="1" applyFont="1" applyFill="1" applyBorder="1" applyAlignment="1" applyProtection="1">
      <alignment horizontal="center" vertical="center"/>
      <protection locked="0"/>
    </xf>
    <xf numFmtId="177" fontId="49" fillId="10" borderId="1" xfId="1" applyNumberFormat="1" applyFont="1" applyFill="1" applyBorder="1" applyAlignment="1" applyProtection="1">
      <alignment horizontal="center" vertical="center"/>
      <protection locked="0"/>
    </xf>
    <xf numFmtId="177" fontId="46" fillId="10" borderId="1" xfId="1" applyNumberFormat="1" applyFont="1" applyFill="1" applyBorder="1" applyAlignment="1" applyProtection="1">
      <alignment horizontal="center" vertical="center"/>
      <protection locked="0"/>
    </xf>
    <xf numFmtId="9" fontId="49" fillId="10" borderId="5" xfId="0" applyNumberFormat="1" applyFont="1" applyFill="1" applyBorder="1" applyAlignment="1" applyProtection="1">
      <alignment horizontal="center" vertical="center"/>
      <protection locked="0"/>
    </xf>
    <xf numFmtId="0" fontId="53" fillId="10" borderId="23" xfId="0" applyFont="1" applyFill="1" applyBorder="1" applyAlignment="1" applyProtection="1">
      <alignment vertical="center"/>
      <protection locked="0"/>
    </xf>
    <xf numFmtId="10" fontId="46" fillId="10" borderId="1" xfId="0" applyNumberFormat="1" applyFont="1" applyFill="1" applyBorder="1" applyAlignment="1" applyProtection="1">
      <alignment horizontal="center" vertical="center"/>
      <protection locked="0"/>
    </xf>
    <xf numFmtId="183" fontId="46" fillId="10" borderId="1" xfId="0" applyNumberFormat="1" applyFont="1" applyFill="1" applyBorder="1" applyAlignment="1" applyProtection="1">
      <alignment horizontal="center" vertical="center"/>
      <protection locked="0"/>
    </xf>
    <xf numFmtId="181" fontId="46" fillId="10" borderId="24"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16</xdr:row>
      <xdr:rowOff>57150</xdr:rowOff>
    </xdr:from>
    <xdr:to>
      <xdr:col>16</xdr:col>
      <xdr:colOff>84371</xdr:colOff>
      <xdr:row>37</xdr:row>
      <xdr:rowOff>47151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952750"/>
          <a:ext cx="10838096" cy="3790476"/>
        </a:xfrm>
        <a:prstGeom prst="rect">
          <a:avLst/>
        </a:prstGeom>
      </xdr:spPr>
    </xdr:pic>
    <xdr:clientData/>
  </xdr:twoCellAnchor>
  <xdr:twoCellAnchor editAs="oneCell">
    <xdr:from>
      <xdr:col>1</xdr:col>
      <xdr:colOff>0</xdr:colOff>
      <xdr:row>39</xdr:row>
      <xdr:rowOff>0</xdr:rowOff>
    </xdr:from>
    <xdr:to>
      <xdr:col>14</xdr:col>
      <xdr:colOff>313172</xdr:colOff>
      <xdr:row>57</xdr:row>
      <xdr:rowOff>151974</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7058025"/>
          <a:ext cx="9228572" cy="3409524"/>
        </a:xfrm>
        <a:prstGeom prst="rect">
          <a:avLst/>
        </a:prstGeom>
      </xdr:spPr>
    </xdr:pic>
    <xdr:clientData/>
  </xdr:twoCellAnchor>
  <xdr:twoCellAnchor editAs="oneCell">
    <xdr:from>
      <xdr:col>1</xdr:col>
      <xdr:colOff>0</xdr:colOff>
      <xdr:row>59</xdr:row>
      <xdr:rowOff>0</xdr:rowOff>
    </xdr:from>
    <xdr:to>
      <xdr:col>13</xdr:col>
      <xdr:colOff>560877</xdr:colOff>
      <xdr:row>97</xdr:row>
      <xdr:rowOff>56284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677525"/>
          <a:ext cx="8790477" cy="6933334"/>
        </a:xfrm>
        <a:prstGeom prst="rect">
          <a:avLst/>
        </a:prstGeom>
      </xdr:spPr>
    </xdr:pic>
    <xdr:clientData/>
  </xdr:twoCellAnchor>
  <xdr:twoCellAnchor editAs="oneCell">
    <xdr:from>
      <xdr:col>7</xdr:col>
      <xdr:colOff>361950</xdr:colOff>
      <xdr:row>0</xdr:row>
      <xdr:rowOff>161925</xdr:rowOff>
    </xdr:from>
    <xdr:to>
      <xdr:col>15</xdr:col>
      <xdr:colOff>656503</xdr:colOff>
      <xdr:row>27</xdr:row>
      <xdr:rowOff>37505</xdr:rowOff>
    </xdr:to>
    <xdr:pic>
      <xdr:nvPicPr>
        <xdr:cNvPr id="5" name="图片 4"/>
        <xdr:cNvPicPr>
          <a:picLocks noChangeAspect="1"/>
        </xdr:cNvPicPr>
      </xdr:nvPicPr>
      <xdr:blipFill>
        <a:blip xmlns:r="http://schemas.openxmlformats.org/officeDocument/2006/relationships" r:embed="rId4"/>
        <a:stretch>
          <a:fillRect/>
        </a:stretch>
      </xdr:blipFill>
      <xdr:spPr>
        <a:xfrm>
          <a:off x="5162550" y="161925"/>
          <a:ext cx="5780953" cy="4761905"/>
        </a:xfrm>
        <a:prstGeom prst="rect">
          <a:avLst/>
        </a:prstGeom>
      </xdr:spPr>
    </xdr:pic>
    <xdr:clientData/>
  </xdr:twoCellAnchor>
  <xdr:twoCellAnchor editAs="oneCell">
    <xdr:from>
      <xdr:col>8</xdr:col>
      <xdr:colOff>38100</xdr:colOff>
      <xdr:row>30</xdr:row>
      <xdr:rowOff>85725</xdr:rowOff>
    </xdr:from>
    <xdr:to>
      <xdr:col>15</xdr:col>
      <xdr:colOff>208929</xdr:colOff>
      <xdr:row>38</xdr:row>
      <xdr:rowOff>85544</xdr:rowOff>
    </xdr:to>
    <xdr:pic>
      <xdr:nvPicPr>
        <xdr:cNvPr id="6" name="图片 5"/>
        <xdr:cNvPicPr>
          <a:picLocks noChangeAspect="1"/>
        </xdr:cNvPicPr>
      </xdr:nvPicPr>
      <xdr:blipFill>
        <a:blip xmlns:r="http://schemas.openxmlformats.org/officeDocument/2006/relationships" r:embed="rId5"/>
        <a:stretch>
          <a:fillRect/>
        </a:stretch>
      </xdr:blipFill>
      <xdr:spPr>
        <a:xfrm>
          <a:off x="5524500" y="5514975"/>
          <a:ext cx="4971429"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估价对象为北京市房地产，为所有。根据《国有土地使用证》[]，估价对象（分摊）出让国有建设用地使用权面积为55191.78平方米，建筑面积为210956.06平方米。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估价对象为北京市房地产,属开发建设的，该项目尚在开发建设中。根据《国有土地使用证》[]，估价对象（分摊）出让国有建设用地使用权面积为55191.78平方米，规划建筑面积为210956.06平方米。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2022年9月19日</v>
      </c>
    </row>
    <row r="13" spans="1:2" s="1317" customFormat="1">
      <c r="A13" s="1315" t="s">
        <v>954</v>
      </c>
      <c r="B13" s="1316" t="str">
        <f>'预评函-1'!A18</f>
        <v>本次估价的“房地产价值”是指在正常市场情况下，在价值时点2022年9月19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本次评估采用的主估价方法为收益法和成本法。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325592</v>
      </c>
    </row>
    <row r="21" spans="1:2" s="1317" customFormat="1">
      <c r="A21" s="1315" t="s">
        <v>962</v>
      </c>
      <c r="B21" s="1316">
        <f ca="1">'预评函-2'!D7</f>
        <v>15434</v>
      </c>
    </row>
    <row r="22" spans="1:2" s="1317" customFormat="1">
      <c r="A22" s="1315" t="s">
        <v>963</v>
      </c>
      <c r="B22" s="1316" t="str">
        <f ca="1">'预评函-2'!D6</f>
        <v>叁拾贰亿伍仟伍佰玖拾贰万元整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325592</v>
      </c>
    </row>
    <row r="31" spans="1:2" s="1317" customFormat="1">
      <c r="A31" s="1315" t="s">
        <v>1001</v>
      </c>
      <c r="B31" s="1316">
        <f ca="1">'预评函-2'!D15</f>
        <v>15434</v>
      </c>
    </row>
    <row r="32" spans="1:2" s="1317" customFormat="1">
      <c r="A32" s="1315" t="s">
        <v>968</v>
      </c>
      <c r="B32" s="1316" t="str">
        <f ca="1">'预评函-2'!D14</f>
        <v>叁拾贰亿伍仟伍佰玖拾贰万元整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302147</v>
      </c>
    </row>
    <row r="39" spans="1:2" s="1317" customFormat="1">
      <c r="A39" s="1315" t="s">
        <v>970</v>
      </c>
      <c r="B39" s="1316">
        <f ca="1">'预评函-2'!D21</f>
        <v>14323</v>
      </c>
    </row>
    <row r="40" spans="1:2" s="1317" customFormat="1">
      <c r="A40" s="1315" t="s">
        <v>971</v>
      </c>
      <c r="B40" s="1316" t="str">
        <f ca="1">'预评函-2'!D20</f>
        <v>叁拾亿贰仟壹佰肆拾柒万元整</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210956.06</v>
      </c>
    </row>
    <row r="44" spans="1:2" s="1317" customFormat="1">
      <c r="A44" s="1315" t="s">
        <v>1000</v>
      </c>
      <c r="B44" s="1316" t="str">
        <f>'预评函-3'!C2</f>
        <v>(分摊)土地面积</v>
      </c>
    </row>
    <row r="45" spans="1:2" s="1317" customFormat="1">
      <c r="A45" s="1315" t="s">
        <v>972</v>
      </c>
      <c r="B45" s="1316">
        <f>'预评函-3'!C4</f>
        <v>55191.78</v>
      </c>
    </row>
    <row r="46" spans="1:2" s="1317" customFormat="1">
      <c r="A46" s="1315" t="s">
        <v>998</v>
      </c>
      <c r="B46" s="1316" t="str">
        <f>'预评函-3'!D2</f>
        <v>出让国有建设用地使用权价值</v>
      </c>
    </row>
    <row r="47" spans="1:2" s="1317" customFormat="1">
      <c r="A47" s="1315" t="s">
        <v>973</v>
      </c>
      <c r="B47" s="1316">
        <f ca="1">'预评函-3'!D4</f>
        <v>181029</v>
      </c>
    </row>
    <row r="48" spans="1:2" s="1317" customFormat="1">
      <c r="A48" s="1315" t="s">
        <v>974</v>
      </c>
      <c r="B48" s="1316">
        <f ca="1">'预评函-3'!E4</f>
        <v>8581</v>
      </c>
    </row>
    <row r="49" spans="1:2" s="1317" customFormat="1">
      <c r="A49" s="1315" t="s">
        <v>975</v>
      </c>
      <c r="B49" s="1316" t="str">
        <f ca="1">'预评函-3'!D5</f>
        <v>壹拾捌亿壹仟零贰拾玖万元整</v>
      </c>
    </row>
    <row r="50" spans="1:2" s="1317" customFormat="1">
      <c r="A50" s="1315" t="s">
        <v>999</v>
      </c>
      <c r="B50" s="1316" t="str">
        <f>'预评函-3'!F2</f>
        <v>在建建筑物价值</v>
      </c>
    </row>
    <row r="51" spans="1:2" s="1317" customFormat="1">
      <c r="A51" s="1315" t="s">
        <v>976</v>
      </c>
      <c r="B51" s="1316">
        <f ca="1">'预评函-3'!F4</f>
        <v>144563</v>
      </c>
    </row>
    <row r="52" spans="1:2" s="1317" customFormat="1">
      <c r="A52" s="1315" t="s">
        <v>977</v>
      </c>
      <c r="B52" s="1316">
        <f ca="1">'预评函-3'!G4</f>
        <v>6853</v>
      </c>
    </row>
    <row r="53" spans="1:2" s="1317" customFormat="1">
      <c r="A53" s="1315" t="s">
        <v>1005</v>
      </c>
      <c r="B53" s="1316" t="str">
        <f ca="1">'预评函-3'!F5</f>
        <v>壹拾肆亿肆仟伍佰陆拾叁万元整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2938</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5"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5"/>
      <c r="B54" s="1689" t="s">
        <v>651</v>
      </c>
      <c r="C54" s="1686" t="s">
        <v>1008</v>
      </c>
    </row>
    <row r="55" spans="1:4">
      <c r="A55" s="3285"/>
      <c r="B55" s="1689" t="s">
        <v>652</v>
      </c>
      <c r="C55" s="1686" t="s">
        <v>1009</v>
      </c>
    </row>
    <row r="56" spans="1:4">
      <c r="A56" s="3285"/>
      <c r="B56" s="1689" t="s">
        <v>653</v>
      </c>
      <c r="C56" s="1686" t="s">
        <v>1013</v>
      </c>
    </row>
    <row r="57" spans="1:4">
      <c r="A57" s="3285"/>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294" t="str">
        <f>IF(B10="北京市","北京市",C10)&amp;F10&amp;IF(结果表!G1="在建","出让国有建设用地使用权及在建建筑物",IF(结果表!G1="土地","出让国有建设用地使用权",))&amp;B9&amp;"预评估"</f>
        <v>北京市房地产抵押价值预评估</v>
      </c>
      <c r="C1" s="3295"/>
      <c r="D1" s="3295"/>
      <c r="E1" s="3295"/>
      <c r="F1" s="3295"/>
      <c r="G1" s="3295"/>
      <c r="H1" s="3295"/>
      <c r="I1" s="3296"/>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c r="C3" s="2547" t="s">
        <v>2672</v>
      </c>
      <c r="D3" s="2546">
        <v>44823</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97" t="s">
        <v>2678</v>
      </c>
      <c r="E8" s="2564" t="s">
        <v>3176</v>
      </c>
      <c r="F8" s="2565"/>
      <c r="G8" s="2839"/>
      <c r="H8" s="2839"/>
      <c r="I8" s="2839"/>
      <c r="J8" s="2614"/>
      <c r="K8" s="2789"/>
      <c r="L8" s="2788"/>
      <c r="M8" s="2788"/>
      <c r="N8" s="2614"/>
      <c r="O8" s="2625"/>
      <c r="P8" s="2614"/>
      <c r="Q8" s="2614"/>
      <c r="R8" s="2614"/>
    </row>
    <row r="9" spans="1:28" ht="13.5" thickBot="1">
      <c r="A9" s="2566" t="s">
        <v>2679</v>
      </c>
      <c r="B9" s="2567" t="s">
        <v>3176</v>
      </c>
      <c r="C9" s="2568"/>
      <c r="D9" s="3298"/>
      <c r="E9" s="2567" t="s">
        <v>1012</v>
      </c>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v>55161</v>
      </c>
      <c r="F13" s="945"/>
      <c r="G13" s="945">
        <v>58814</v>
      </c>
      <c r="H13" s="945"/>
      <c r="I13" s="945"/>
      <c r="J13" s="2614"/>
      <c r="K13" s="2791"/>
      <c r="L13" s="2788"/>
      <c r="M13" s="2788"/>
      <c r="N13" s="2614"/>
      <c r="O13" s="2625"/>
      <c r="P13" s="2614"/>
      <c r="Q13" s="2614"/>
      <c r="R13" s="2614"/>
    </row>
    <row r="14" spans="1:28">
      <c r="A14" s="1193"/>
      <c r="B14" s="2580"/>
      <c r="C14" s="2581" t="s">
        <v>2692</v>
      </c>
      <c r="D14" s="2582"/>
      <c r="E14" s="2582">
        <v>40</v>
      </c>
      <c r="F14" s="2582"/>
      <c r="G14" s="2582">
        <v>50</v>
      </c>
      <c r="H14" s="2582"/>
      <c r="I14" s="2582"/>
      <c r="J14" s="2614"/>
      <c r="K14" s="2792"/>
      <c r="L14" s="2788"/>
      <c r="M14" s="2788"/>
      <c r="N14" s="2614"/>
      <c r="O14" s="2625"/>
      <c r="P14" s="2614"/>
      <c r="Q14" s="2614"/>
      <c r="R14" s="2614"/>
    </row>
    <row r="15" spans="1:28">
      <c r="A15" s="325"/>
      <c r="B15" s="2583"/>
      <c r="C15" s="2584" t="s">
        <v>2693</v>
      </c>
      <c r="D15" s="2585" t="str">
        <f>IF(B12="出让",IF(D13="","",ROUNDDOWN(MIN((D13-$D$3)/365,D14),2)),D14)</f>
        <v/>
      </c>
      <c r="E15" s="2585">
        <f>IF(B12="出让",IF(E13="","",ROUNDDOWN(MIN((E13-$D$3)/365,E14),2)),E14)</f>
        <v>28.32</v>
      </c>
      <c r="F15" s="2585" t="str">
        <f>IF(B12="出让",IF(F13="","",ROUNDDOWN(MIN((F13-$D$3)/365,F14),2)),F14)</f>
        <v/>
      </c>
      <c r="G15" s="2585">
        <f>IF(B12="出让",IF(G13="","",ROUNDDOWN(MIN((G13-$D$3)/365,G14),2)),G14)</f>
        <v>38.33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04"/>
      <c r="C16" s="3305"/>
      <c r="D16" s="3306"/>
      <c r="E16" s="2588" t="s">
        <v>2695</v>
      </c>
      <c r="F16" s="3307"/>
      <c r="G16" s="3308"/>
      <c r="H16" s="3308"/>
      <c r="I16" s="3309"/>
      <c r="J16" s="2614"/>
      <c r="K16" s="2793"/>
      <c r="L16" s="2626"/>
      <c r="M16" s="2626"/>
      <c r="N16" s="2684"/>
      <c r="O16" s="2626"/>
      <c r="P16" s="2684"/>
      <c r="Q16" s="2614"/>
      <c r="R16" s="2614"/>
    </row>
    <row r="17" spans="1:28">
      <c r="A17" s="318" t="s">
        <v>2696</v>
      </c>
      <c r="B17" s="307" t="s">
        <v>2697</v>
      </c>
      <c r="C17" s="11">
        <f>'数据-汇总表'!E3</f>
        <v>210956.06</v>
      </c>
      <c r="D17" s="2495" t="s">
        <v>2698</v>
      </c>
      <c r="E17" s="3310" t="s">
        <v>2699</v>
      </c>
      <c r="F17" s="3311"/>
      <c r="G17" s="3311"/>
      <c r="H17" s="3311"/>
      <c r="I17" s="3312"/>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55191.78</v>
      </c>
      <c r="D18" s="1204" t="s">
        <v>2702</v>
      </c>
      <c r="E18" s="3313" t="s">
        <v>2703</v>
      </c>
      <c r="F18" s="3314"/>
      <c r="G18" s="3314"/>
      <c r="H18" s="3314"/>
      <c r="I18" s="3315"/>
      <c r="J18" s="2614"/>
      <c r="K18" s="2794"/>
      <c r="L18" s="2626"/>
      <c r="M18" s="2626"/>
      <c r="N18" s="2684"/>
      <c r="O18" s="2626"/>
      <c r="P18" s="2684"/>
      <c r="Q18" s="2614"/>
      <c r="R18" s="2614"/>
      <c r="S18" s="2614"/>
      <c r="T18" s="2614"/>
      <c r="U18" s="2614"/>
      <c r="V18" s="2614"/>
    </row>
    <row r="19" spans="1:28" ht="37.5" thickTop="1" thickBot="1">
      <c r="A19" s="332" t="s">
        <v>1500</v>
      </c>
      <c r="B19" s="312"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300" t="s">
        <v>2707</v>
      </c>
      <c r="C20" s="3301"/>
      <c r="D20" s="3302" t="s">
        <v>2708</v>
      </c>
      <c r="E20" s="3303"/>
      <c r="F20" s="2823" t="s">
        <v>1501</v>
      </c>
      <c r="G20" s="2840"/>
      <c r="H20" s="2840"/>
      <c r="I20" s="2840"/>
      <c r="J20" s="2614"/>
      <c r="K20" s="3299"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29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29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87" t="s">
        <v>2715</v>
      </c>
      <c r="B27" s="325"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7"/>
      <c r="B28" s="307"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7"/>
      <c r="B29" s="307"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8"/>
      <c r="B30" s="307" t="s">
        <v>2719</v>
      </c>
      <c r="C30" s="3289"/>
      <c r="D30" s="3290"/>
      <c r="E30" s="2840"/>
      <c r="F30" s="2840"/>
      <c r="G30" s="2840"/>
      <c r="H30" s="2840"/>
      <c r="I30" s="2840"/>
      <c r="J30" s="2614"/>
      <c r="K30" s="2791"/>
      <c r="L30" s="2788"/>
      <c r="M30" s="2788"/>
      <c r="N30" s="2614"/>
      <c r="O30" s="2625"/>
      <c r="P30" s="2614"/>
      <c r="Q30" s="2614"/>
      <c r="R30" s="2614"/>
      <c r="S30" s="2614"/>
      <c r="T30" s="2614"/>
      <c r="U30" s="2614"/>
      <c r="V30" s="2614"/>
    </row>
    <row r="31" spans="1:28">
      <c r="A31" s="3291"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292"/>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292"/>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c r="C34" s="2164"/>
      <c r="D34" s="2164"/>
      <c r="E34" s="2164"/>
      <c r="F34" s="2164"/>
      <c r="G34" s="2164"/>
      <c r="H34" s="2164"/>
      <c r="I34" s="2840"/>
      <c r="J34" s="2614"/>
      <c r="K34" s="2602">
        <f>COUNTIF(B34:H34,"——")</f>
        <v>0</v>
      </c>
      <c r="L34" s="328" t="s">
        <v>2722</v>
      </c>
      <c r="M34" s="328" t="s">
        <v>2723</v>
      </c>
      <c r="N34" s="328" t="s">
        <v>2724</v>
      </c>
      <c r="O34" s="328" t="s">
        <v>2725</v>
      </c>
      <c r="P34" s="328" t="s">
        <v>2726</v>
      </c>
      <c r="Q34" s="328" t="s">
        <v>2727</v>
      </c>
      <c r="R34" s="328" t="s">
        <v>2728</v>
      </c>
      <c r="S34" s="3286" t="s">
        <v>2729</v>
      </c>
      <c r="T34" s="2603" t="str">
        <f>NUMBERSTRING(7-K34,1)&amp;"通"</f>
        <v>七通</v>
      </c>
      <c r="U34" s="2614"/>
      <c r="V34" s="2614"/>
    </row>
    <row r="35" spans="1:30">
      <c r="A35" s="2604"/>
      <c r="B35" s="3293" t="s">
        <v>2730</v>
      </c>
      <c r="C35" s="3293"/>
      <c r="D35" s="3293"/>
      <c r="E35" s="3293"/>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86"/>
      <c r="T35" s="334" t="str">
        <f>IF(T34="一通",L35,IF(T34="二通",M35,IF(T34="三通",N35,IF(T34="四通",O35,IF(T34="五通",P35,IF(T34="六通",Q35,R35))))))</f>
        <v>、、、、、、</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55191.78</v>
      </c>
      <c r="B3" s="14">
        <f>IF(C3="否",G5-AT5,G5)</f>
        <v>210956.06</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17611.310000000001</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17611.310000000001</v>
      </c>
      <c r="BR5" s="18">
        <f t="shared" si="1"/>
        <v>0</v>
      </c>
      <c r="BS5" s="18">
        <f t="shared" si="1"/>
        <v>0</v>
      </c>
      <c r="BT5" s="19">
        <f t="shared" si="1"/>
        <v>0</v>
      </c>
    </row>
    <row r="6" spans="1:72" s="1724" customFormat="1" ht="12.75">
      <c r="A6" s="15" t="s">
        <v>1517</v>
      </c>
      <c r="B6" s="1721"/>
      <c r="C6" s="1721"/>
      <c r="D6" s="1722"/>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4607.59</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4607.59</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3184</v>
      </c>
      <c r="J9" s="898"/>
      <c r="K9" s="1738" t="s">
        <v>3186</v>
      </c>
      <c r="L9" s="898"/>
      <c r="M9" s="1738" t="s">
        <v>3186</v>
      </c>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t="s">
        <v>3187</v>
      </c>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3185</v>
      </c>
      <c r="J11" s="1750"/>
      <c r="K11" s="1749" t="s">
        <v>3185</v>
      </c>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独立商业</v>
      </c>
      <c r="BC12" s="1759" t="str">
        <f>K11</f>
        <v>独立商业</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3183</v>
      </c>
      <c r="E13" s="16">
        <f>IF($C$3="是",ROUND($A$3*G13/$B$3,2),ROUND($A$3*(G13-AT13)/$B$3,2))</f>
        <v>55191.78</v>
      </c>
      <c r="F13" s="32"/>
      <c r="G13" s="33">
        <f>H13+AC13+AT13</f>
        <v>210956.06</v>
      </c>
      <c r="H13" s="20">
        <f>SUMIF(I$12:AB$12,"总值",I13:AB13)</f>
        <v>193344.75</v>
      </c>
      <c r="I13" s="1761">
        <v>125418.93</v>
      </c>
      <c r="J13" s="1761"/>
      <c r="K13" s="1761">
        <v>19300.580000000002</v>
      </c>
      <c r="L13" s="1761"/>
      <c r="M13" s="1761">
        <v>48625.24</v>
      </c>
      <c r="N13" s="1761"/>
      <c r="O13" s="1761"/>
      <c r="P13" s="1761"/>
      <c r="Q13" s="1761"/>
      <c r="R13" s="1761"/>
      <c r="S13" s="1761"/>
      <c r="T13" s="1761"/>
      <c r="U13" s="1761"/>
      <c r="V13" s="1761"/>
      <c r="W13" s="1761"/>
      <c r="X13" s="1761"/>
      <c r="Y13" s="1761"/>
      <c r="Z13" s="1761"/>
      <c r="AA13" s="1761"/>
      <c r="AB13" s="1761"/>
      <c r="AC13" s="16">
        <f>SUMIF(AD$12:AS$12,"总值",AD13:AS13)</f>
        <v>17611.310000000001</v>
      </c>
      <c r="AD13" s="1762"/>
      <c r="AE13" s="1762"/>
      <c r="AF13" s="1762"/>
      <c r="AG13" s="1762"/>
      <c r="AH13" s="1762"/>
      <c r="AI13" s="1762"/>
      <c r="AJ13" s="1762"/>
      <c r="AK13" s="1762"/>
      <c r="AL13" s="1762">
        <v>17611.310000000001</v>
      </c>
      <c r="AM13" s="1762"/>
      <c r="AN13" s="1762"/>
      <c r="AO13" s="1762"/>
      <c r="AP13" s="1762"/>
      <c r="AQ13" s="1762"/>
      <c r="AR13" s="1762"/>
      <c r="AS13" s="1762"/>
      <c r="AT13" s="1763"/>
      <c r="AU13" s="1764"/>
      <c r="AV13" s="11">
        <f t="shared" ref="AV13:AX17" si="6">A13</f>
        <v>0</v>
      </c>
      <c r="AW13" s="11">
        <f t="shared" si="6"/>
        <v>0</v>
      </c>
      <c r="AX13" s="11">
        <f t="shared" si="6"/>
        <v>0</v>
      </c>
      <c r="AY13" s="1483">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17611.310000000001</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6" t="s">
        <v>0</v>
      </c>
      <c r="B1" s="3316" t="s">
        <v>4</v>
      </c>
      <c r="C1" s="3316" t="s">
        <v>5</v>
      </c>
      <c r="D1" s="3317" t="s">
        <v>53</v>
      </c>
      <c r="E1" s="3317" t="s">
        <v>54</v>
      </c>
      <c r="F1" s="3317"/>
      <c r="G1" s="3317"/>
      <c r="H1" s="3317"/>
      <c r="I1" s="3317"/>
      <c r="J1" s="3317"/>
      <c r="K1" s="3317"/>
      <c r="L1" s="3317"/>
      <c r="M1" s="3317"/>
    </row>
    <row r="2" spans="1:13" ht="27" customHeight="1">
      <c r="A2" s="3316"/>
      <c r="B2" s="3316"/>
      <c r="C2" s="3316"/>
      <c r="D2" s="3317"/>
      <c r="E2" s="3317" t="s">
        <v>37</v>
      </c>
      <c r="F2" s="3317" t="s">
        <v>38</v>
      </c>
      <c r="G2" s="3317"/>
      <c r="H2" s="3317"/>
      <c r="I2" s="3317"/>
      <c r="J2" s="3317" t="s">
        <v>39</v>
      </c>
      <c r="K2" s="3317"/>
      <c r="L2" s="3317"/>
      <c r="M2" s="3317"/>
    </row>
    <row r="3" spans="1:13" ht="28.5">
      <c r="A3" s="3316"/>
      <c r="B3" s="3316"/>
      <c r="C3" s="3316"/>
      <c r="D3" s="3317"/>
      <c r="E3" s="33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7" t="s">
        <v>55</v>
      </c>
      <c r="B9" s="3317"/>
      <c r="C9" s="33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5" sqref="E45"/>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27" t="s">
        <v>1576</v>
      </c>
      <c r="B2" s="3327"/>
      <c r="C2" s="3327"/>
      <c r="D2" s="884" t="s">
        <v>1552</v>
      </c>
      <c r="E2" s="1774" t="s">
        <v>1553</v>
      </c>
      <c r="F2" s="2835"/>
      <c r="G2" s="2826"/>
      <c r="H2" s="2827"/>
      <c r="I2" s="2498" t="s">
        <v>1577</v>
      </c>
      <c r="J2" s="2835"/>
      <c r="K2" s="2835"/>
      <c r="L2" s="2835"/>
      <c r="M2" s="2835"/>
      <c r="N2" s="2837"/>
      <c r="O2" s="2835"/>
      <c r="P2" s="2835"/>
    </row>
    <row r="3" spans="1:16" ht="15.75" thickBot="1">
      <c r="A3" s="3328" t="s">
        <v>1550</v>
      </c>
      <c r="B3" s="3328"/>
      <c r="C3" s="3328"/>
      <c r="D3" s="46">
        <f>'数据-基础表'!AY6</f>
        <v>55191.78</v>
      </c>
      <c r="E3" s="46">
        <f>'数据-基础表'!AZ5</f>
        <v>210956.06</v>
      </c>
      <c r="F3" s="2835"/>
      <c r="G3" s="1259"/>
      <c r="H3" s="1137" t="s">
        <v>1551</v>
      </c>
      <c r="I3" s="944">
        <f>ROUND('数据-基础表'!B3/'数据-基础表'!A3,2)</f>
        <v>3.82</v>
      </c>
      <c r="J3" s="2835"/>
      <c r="K3" s="2835"/>
      <c r="L3" s="2835"/>
      <c r="M3" s="2835"/>
      <c r="N3" s="2837"/>
      <c r="O3" s="2835"/>
      <c r="P3" s="2835"/>
    </row>
    <row r="4" spans="1:16" ht="15">
      <c r="A4" s="3329"/>
      <c r="B4" s="3330"/>
      <c r="C4" s="3331"/>
      <c r="D4" s="1776" t="s">
        <v>1552</v>
      </c>
      <c r="E4" s="1777" t="s">
        <v>1553</v>
      </c>
      <c r="F4" s="2835"/>
      <c r="G4" s="2828" t="s">
        <v>1578</v>
      </c>
      <c r="H4" s="1137" t="s">
        <v>1558</v>
      </c>
      <c r="I4" s="944">
        <f>ROUND(SUMIF('数据-基础表'!I9:AS9,"地上",'数据-基础表'!I5:AS5)/'数据-基础表'!A3,2)</f>
        <v>2.59</v>
      </c>
      <c r="J4" s="2835"/>
      <c r="K4" s="2835"/>
      <c r="L4" s="2835"/>
      <c r="M4" s="2835"/>
      <c r="N4" s="2837"/>
      <c r="O4" s="2835"/>
      <c r="P4" s="2835"/>
    </row>
    <row r="5" spans="1:16">
      <c r="A5" s="47" t="s">
        <v>1554</v>
      </c>
      <c r="B5" s="3332" t="s">
        <v>1555</v>
      </c>
      <c r="C5" s="3332"/>
      <c r="D5" s="48">
        <f>ROUND($D$3*E5/$E$3,2)</f>
        <v>0</v>
      </c>
      <c r="E5" s="49">
        <f>SUMIF('数据-基础表'!$11:$11,"住宅",'数据-基础表'!$5:$5)</f>
        <v>0</v>
      </c>
      <c r="F5" s="2835"/>
      <c r="G5" s="1259"/>
      <c r="H5" s="1137" t="s">
        <v>1551</v>
      </c>
      <c r="I5" s="944">
        <f>ROUND(E31/D31,2)</f>
        <v>3.82</v>
      </c>
      <c r="J5" s="2835"/>
      <c r="K5" s="2835"/>
      <c r="L5" s="2835"/>
      <c r="M5" s="2835"/>
      <c r="N5" s="2835"/>
      <c r="O5" s="2835"/>
      <c r="P5" s="2835"/>
    </row>
    <row r="6" spans="1:16" ht="15" thickBot="1">
      <c r="A6" s="1779"/>
      <c r="B6" s="3332" t="s">
        <v>1556</v>
      </c>
      <c r="C6" s="3332"/>
      <c r="D6" s="48">
        <f>ROUND($D$3*E6/$E$3,2)</f>
        <v>55191.78</v>
      </c>
      <c r="E6" s="49">
        <f>E3-E5</f>
        <v>210956.06</v>
      </c>
      <c r="F6" s="2835"/>
      <c r="G6" s="2829" t="s">
        <v>1557</v>
      </c>
      <c r="H6" s="1260" t="s">
        <v>1558</v>
      </c>
      <c r="I6" s="2830">
        <f>ROUND(F31/D31,2)</f>
        <v>2.59</v>
      </c>
      <c r="J6" s="2835"/>
      <c r="K6" s="2835"/>
      <c r="L6" s="2835"/>
      <c r="M6" s="2835"/>
      <c r="N6" s="2835"/>
      <c r="O6" s="2835"/>
      <c r="P6" s="2835"/>
    </row>
    <row r="7" spans="1:16" ht="15.75" thickBot="1">
      <c r="A7" s="3324"/>
      <c r="B7" s="3325"/>
      <c r="C7" s="3326"/>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32812.97</v>
      </c>
      <c r="E8" s="51">
        <f>SUMIF('数据-基础表'!BB10:BK10,"地上",'数据-基础表'!BB5:BK5)</f>
        <v>125418.93</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5049.55</v>
      </c>
      <c r="E10" s="51">
        <f>SUMPRODUCT(('数据-基础表'!BB10:BK10="地下")*('数据-基础表'!BB11:BK11="商业")*('数据-基础表'!BB5:BK5))</f>
        <v>19300.580000000002</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12721.67</v>
      </c>
      <c r="E13" s="51">
        <f>SUMPRODUCT(('数据-基础表'!BB10:BK10="地下")*('数据-基础表'!BB11:BK11="车库")*('数据-基础表'!BB5:BK5))</f>
        <v>48625.24</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50584.19</v>
      </c>
      <c r="E16" s="53">
        <f>SUM(E8:E15)</f>
        <v>193344.75</v>
      </c>
      <c r="F16" s="2835"/>
      <c r="G16" s="2836"/>
      <c r="H16" s="1783" t="s">
        <v>1580</v>
      </c>
      <c r="I16" s="1784"/>
      <c r="J16" s="1253"/>
      <c r="K16" s="3321" t="s">
        <v>1580</v>
      </c>
      <c r="L16" s="3322"/>
      <c r="M16" s="3322"/>
      <c r="N16" s="3322"/>
      <c r="O16" s="3322"/>
      <c r="P16" s="3323"/>
    </row>
    <row r="17" spans="1:19" ht="15">
      <c r="A17" s="1785" t="s">
        <v>1581</v>
      </c>
      <c r="B17" s="1786" t="s">
        <v>1582</v>
      </c>
      <c r="C17" s="1787" t="s">
        <v>1583</v>
      </c>
      <c r="D17" s="1788" t="s">
        <v>1571</v>
      </c>
      <c r="E17" s="1789" t="s">
        <v>1572</v>
      </c>
      <c r="F17" s="1790"/>
      <c r="G17" s="1791"/>
      <c r="H17" s="1792" t="s">
        <v>1584</v>
      </c>
      <c r="I17" s="1793" t="s">
        <v>1569</v>
      </c>
      <c r="J17" s="1253"/>
      <c r="K17" s="3318" t="s">
        <v>1585</v>
      </c>
      <c r="L17" s="3319"/>
      <c r="M17" s="3320"/>
      <c r="N17" s="3318" t="s">
        <v>1586</v>
      </c>
      <c r="O17" s="3319"/>
      <c r="P17" s="3320"/>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2" t="s">
        <v>3188</v>
      </c>
      <c r="D19" s="48">
        <f>ROUND($D$3*E19/$E$3,2)</f>
        <v>50584.19</v>
      </c>
      <c r="E19" s="56">
        <f t="shared" ref="E19:E26" si="1">SUM(F19:G19)</f>
        <v>193344.75</v>
      </c>
      <c r="F19" s="2975">
        <f>'数据-基础表'!I13</f>
        <v>125418.93</v>
      </c>
      <c r="G19" s="2976">
        <f>'数据-基础表'!K13+'数据-基础表'!M13</f>
        <v>67925.820000000007</v>
      </c>
      <c r="H19" s="678">
        <f>ROUND($D$3*I19/$E$3,2)</f>
        <v>4607.59</v>
      </c>
      <c r="I19" s="51">
        <f t="shared" ref="I19:I26" si="2">IF($I$17="自定义",P19,M19)</f>
        <v>17611.310000000001</v>
      </c>
      <c r="J19" s="1253"/>
      <c r="K19" s="1252">
        <f t="shared" ref="K19:K26" si="3">ROUND(E$28*E19/E$27,2)</f>
        <v>17611.310000000001</v>
      </c>
      <c r="L19" s="1137">
        <f t="shared" ref="L19:L26" si="4">ROUND(IF(COUNTIF(C19,"*住宅*")&gt;0,E$29*E19/E$32,0),2)</f>
        <v>0</v>
      </c>
      <c r="M19" s="1264">
        <f>K19+L19</f>
        <v>17611.310000000001</v>
      </c>
      <c r="N19" s="1804"/>
      <c r="O19" s="1805"/>
      <c r="P19" s="1264">
        <f>N19+O19</f>
        <v>0</v>
      </c>
      <c r="R19" s="1137">
        <f t="shared" ref="R19:S26" si="5">D19+H19</f>
        <v>55191.78</v>
      </c>
      <c r="S19" s="1138">
        <f t="shared" si="5"/>
        <v>210956.06</v>
      </c>
    </row>
    <row r="20" spans="1:19">
      <c r="A20" s="1806"/>
      <c r="B20" s="50" t="s">
        <v>1598</v>
      </c>
      <c r="C20" s="3232"/>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50584.19</v>
      </c>
      <c r="E27" s="1255">
        <f>IF(SUM(E19:E26)='数据-基础表'!BA5,SUM(E19:E26),IF(F27="地上面积有误","面积有误","地下面积有误"))</f>
        <v>193344.75</v>
      </c>
      <c r="F27" s="1254">
        <f>IF(SUM(F19:F26)=E8,SUM(F19:F26),"地上面积有误")</f>
        <v>125418.93</v>
      </c>
      <c r="G27" s="1256">
        <f>SUM(G19:G26)</f>
        <v>67925.820000000007</v>
      </c>
      <c r="H27" s="1257">
        <f>SUM(H19:H26)</f>
        <v>4607.59</v>
      </c>
      <c r="I27" s="1258">
        <f>SUM(I19:I26)</f>
        <v>17611.310000000001</v>
      </c>
      <c r="J27" s="1253"/>
      <c r="K27" s="1261">
        <f>SUM(K19:K26)</f>
        <v>17611.310000000001</v>
      </c>
      <c r="L27" s="1262">
        <f>SUM(L19:L26)</f>
        <v>0</v>
      </c>
      <c r="M27" s="1265">
        <f>SUM(M19:M26)</f>
        <v>17611.310000000001</v>
      </c>
      <c r="N27" s="1261">
        <f t="shared" ref="N27:O27" si="10">SUM(N19:N26)</f>
        <v>0</v>
      </c>
      <c r="O27" s="1262">
        <f t="shared" si="10"/>
        <v>0</v>
      </c>
      <c r="P27" s="1263">
        <f>SUM(P19:P26)</f>
        <v>0</v>
      </c>
      <c r="R27" s="1139">
        <f>IF(SUM(R19:R26)=$D$3,SUM(R19:R26),SUM(R19:R26)&amp;"误差"&amp;ROUND(SUM(R19:R26)-$D$3,2))</f>
        <v>55191.78</v>
      </c>
      <c r="S27" s="1137">
        <f>IF(SUM(S19:S26)=$E$3,SUM(S19:S26),SUM(S19:S26)&amp;"误差"&amp;ROUND(SUM(S19:S26)-E3,2))</f>
        <v>210956.06</v>
      </c>
    </row>
    <row r="28" spans="1:19">
      <c r="A28" s="1806"/>
      <c r="B28" s="50" t="s">
        <v>1600</v>
      </c>
      <c r="C28" s="1149" t="s">
        <v>1601</v>
      </c>
      <c r="D28" s="48">
        <f>ROUND($D$3*E28/$E$3,2)</f>
        <v>4607.59</v>
      </c>
      <c r="E28" s="56">
        <f>SUM(F28:G28)</f>
        <v>17611.310000000001</v>
      </c>
      <c r="F28" s="60">
        <f>'数据-基础表'!BQ5+'数据-基础表'!BS5</f>
        <v>17611.310000000001</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4607.59</v>
      </c>
      <c r="E30" s="1254">
        <f>SUM(E28:E29)</f>
        <v>17611.310000000001</v>
      </c>
      <c r="F30" s="1254">
        <f>SUM(F28:F29)</f>
        <v>17611.310000000001</v>
      </c>
      <c r="G30" s="1256">
        <f>SUM(G28:G29)</f>
        <v>0</v>
      </c>
      <c r="H30" s="2835"/>
      <c r="I30" s="2835"/>
      <c r="J30" s="2835"/>
      <c r="K30" s="2835"/>
      <c r="L30" s="2835"/>
      <c r="M30" s="2835"/>
      <c r="N30" s="2835"/>
      <c r="O30" s="2835"/>
      <c r="P30" s="2835"/>
    </row>
    <row r="31" spans="1:19" ht="15.75" thickBot="1">
      <c r="A31" s="1812"/>
      <c r="B31" s="1813"/>
      <c r="C31" s="924" t="s">
        <v>1603</v>
      </c>
      <c r="D31" s="684">
        <f>D27+D30</f>
        <v>55191.78</v>
      </c>
      <c r="E31" s="684">
        <f>E27+E30</f>
        <v>210956.06</v>
      </c>
      <c r="F31" s="685">
        <f>F27+F30</f>
        <v>143030.24</v>
      </c>
      <c r="G31" s="686">
        <f>G27+G30</f>
        <v>67925.820000000007</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3"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3" width="7.25" style="1818" customWidth="1"/>
    <col min="34" max="34" width="9.6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44823</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3190</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7">
        <f>SUMIF(项目基本情况!D$12:I$12,C6,项目基本情况!D$14:I$14)</f>
        <v>40</v>
      </c>
      <c r="E6" s="946">
        <f>IF(B6="","",SUMIF(项目基本情况!D$12:I$12,C6,项目基本情况!D$13:I$13))</f>
        <v>55161</v>
      </c>
      <c r="F6" s="68">
        <f>SUMIF(项目基本情况!D$12:I$12,C6,项目基本情况!D$15:I$15)</f>
        <v>28.32</v>
      </c>
      <c r="G6" s="69">
        <f>IF(ISERROR(ROUND(POWER(1+H6,D6-F6)*(POWER(1+H6,F6)-1)/(POWER(1+H6,D6)-1),3)),0,ROUND(POWER(1+H6,D6-F6)*(POWER(1+H6,F6)-1)/(POWER(1+H6,D6)-1),3))</f>
        <v>0.88400000000000001</v>
      </c>
      <c r="H6" s="3234">
        <v>5.5E-2</v>
      </c>
      <c r="I6" s="3234">
        <v>0.06</v>
      </c>
      <c r="J6" s="3235">
        <v>7.4999999999999997E-2</v>
      </c>
      <c r="K6" s="1141">
        <f>SUMIF('数据-汇总表'!C$19:C$33,A6,'数据-汇总表'!E$19:E$33)</f>
        <v>193344.75</v>
      </c>
      <c r="L6" s="3236">
        <v>5000</v>
      </c>
      <c r="M6" s="71">
        <f t="shared" ref="M6:M14" si="0">ROUND(K6*L6/10000,0)</f>
        <v>96672</v>
      </c>
      <c r="N6" s="739">
        <f>(N19+N20)/2</f>
        <v>0.89</v>
      </c>
      <c r="O6" s="71" t="str">
        <f>IF($N$5="成新度","——",ROUND(M6*N6,0))</f>
        <v>——</v>
      </c>
      <c r="P6" s="72" t="str">
        <f>IF($N$5="成新度","——",M6-O6)</f>
        <v>——</v>
      </c>
      <c r="Q6" s="3238">
        <v>0.25</v>
      </c>
      <c r="R6" s="73">
        <f ca="1">SUMIF('数据-汇总表'!C$19:C$33,A6,'数据-汇总表'!R$19:R$27)</f>
        <v>55191.78</v>
      </c>
      <c r="S6" s="54">
        <f>IF('数据-汇总表'!$I$17="按面积比例",SUMIF('数据-汇总表'!C$19:C$33,A6,'数据-汇总表'!K$19:K$33),SUMIF('数据-汇总表'!C$19:C$33,A6,'数据-汇总表'!N$19:N$33))</f>
        <v>17611.310000000001</v>
      </c>
      <c r="T6" s="1286">
        <f>ROUND($L$14*S6/10000,0)</f>
        <v>5283</v>
      </c>
      <c r="U6" s="3239">
        <v>5</v>
      </c>
      <c r="V6" s="75">
        <v>0.03</v>
      </c>
      <c r="W6" s="75">
        <v>0.1</v>
      </c>
      <c r="X6" s="1151"/>
      <c r="Y6" s="76">
        <f>N6</f>
        <v>0.89</v>
      </c>
      <c r="Z6" s="77"/>
      <c r="AA6" s="70"/>
      <c r="AB6" s="70"/>
      <c r="AC6" s="1151"/>
      <c r="AD6" s="78"/>
      <c r="AE6" s="1152">
        <f ca="1">IF(AN6="",0,SUMIF(INDIRECT("'"&amp;AN6&amp;"'"&amp;"!E:E"),$AE$5,INDIRECT("'"&amp;AN6&amp;"'"&amp;"!F:F")))</f>
        <v>28.32</v>
      </c>
      <c r="AF6" s="1482"/>
      <c r="AG6" s="142">
        <f>IF(AF6="",0,AE6-AF6)</f>
        <v>0</v>
      </c>
      <c r="AH6" s="79">
        <f>'数据-基础表'!I13+'数据-基础表'!K13</f>
        <v>144719.51</v>
      </c>
      <c r="AI6" s="81">
        <v>365</v>
      </c>
      <c r="AJ6" s="82"/>
      <c r="AK6" s="3240">
        <v>1.4999999999999999E-2</v>
      </c>
      <c r="AL6" s="3241">
        <v>2E-3</v>
      </c>
      <c r="AM6" s="3242">
        <v>0.02</v>
      </c>
      <c r="AN6" s="1851" t="s">
        <v>3191</v>
      </c>
      <c r="AO6" s="55">
        <f ca="1">SUMIF(INDIRECT("'"&amp;AN6&amp;"'"&amp;"!A:A"),"总价",INDIRECT("'"&amp;AN6&amp;"'"&amp;"!B:B"))</f>
        <v>314553</v>
      </c>
      <c r="AP6" s="1852">
        <f>IF(C6="住宅",K6*L6,0)</f>
        <v>0</v>
      </c>
      <c r="AQ6" s="55">
        <f>ROUND($L$14*$N$14*S6/10000,0)</f>
        <v>4702</v>
      </c>
      <c r="AR6" s="55">
        <f>ROUND($L$14*(1-$N$14)*S6/10000,0)</f>
        <v>581</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17611.310000000001</v>
      </c>
      <c r="L14" s="3237">
        <v>3000</v>
      </c>
      <c r="M14" s="71">
        <f t="shared" si="0"/>
        <v>5283</v>
      </c>
      <c r="N14" s="88">
        <f>N6</f>
        <v>0.89</v>
      </c>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14.25">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0.88400000000000001</v>
      </c>
      <c r="H16" s="95">
        <f>ROUND(SUMPRODUCT(H6:H13,K6:K13)/SUMPRODUCT((H6:H13&gt;0)*(K6:K13)),3)</f>
        <v>5.5E-2</v>
      </c>
      <c r="I16" s="96"/>
      <c r="J16" s="96"/>
      <c r="K16" s="97">
        <f>SUM(K6:K15)</f>
        <v>210956.06</v>
      </c>
      <c r="L16" s="98">
        <f>ROUND(M16*10000/SUM(K6:K14),0)</f>
        <v>4833</v>
      </c>
      <c r="M16" s="98">
        <f>SUM(M6:M14)</f>
        <v>101955</v>
      </c>
      <c r="N16" s="99">
        <f>ROUND(SUMPRODUCT(M6:M14,N6:N14)/M16,3)</f>
        <v>0.89</v>
      </c>
      <c r="O16" s="98">
        <f>SUM(O6:O14)</f>
        <v>0</v>
      </c>
      <c r="P16" s="98">
        <f>SUM(P6:P14)</f>
        <v>0</v>
      </c>
      <c r="Q16" s="100">
        <f>ROUND(SUMPRODUCT(Q6:Q13,K6:K13)/SUMPRODUCT((Q6:Q13&gt;0)*(K6:K13)),2)</f>
        <v>0.25</v>
      </c>
      <c r="R16" s="1145">
        <f ca="1">SUM(R6:R13)</f>
        <v>55191.78</v>
      </c>
      <c r="S16" s="101">
        <f>SUM(S6:S13)</f>
        <v>17611.310000000001</v>
      </c>
      <c r="T16" s="102">
        <f>IF(SUMIF(T6:T13,"&lt;9E307")=M14,SUMIF(T6:T13,"&lt;9E307"),"有误，请检查")</f>
        <v>5283</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v>2015</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2806</v>
      </c>
      <c r="D19" s="2854"/>
      <c r="E19" s="2851"/>
      <c r="F19" s="2851"/>
      <c r="G19" s="2851"/>
      <c r="H19" s="2851"/>
      <c r="I19" s="2851"/>
      <c r="J19" s="2851"/>
      <c r="K19" s="2850"/>
      <c r="L19" s="2850"/>
      <c r="M19" s="2849"/>
      <c r="N19" s="2849">
        <f>ROUND(1-(2022-N18)/60,2)</f>
        <v>0.88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3233">
        <v>3</v>
      </c>
      <c r="C20" s="2980" t="s">
        <v>2804</v>
      </c>
      <c r="D20" s="2854"/>
      <c r="E20" s="2851"/>
      <c r="F20" s="2851"/>
      <c r="G20" s="2851"/>
      <c r="H20" s="2851"/>
      <c r="I20" s="2851"/>
      <c r="J20" s="2851"/>
      <c r="K20" s="2850"/>
      <c r="L20" s="2850"/>
      <c r="M20" s="2849"/>
      <c r="N20" s="2849">
        <v>0.9</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3233">
        <v>3</v>
      </c>
      <c r="C21" s="2851">
        <v>2</v>
      </c>
      <c r="D21" s="2854"/>
      <c r="E21" s="2851"/>
      <c r="F21" s="2851"/>
      <c r="G21" s="2851"/>
      <c r="H21" s="2851"/>
      <c r="I21" s="2851"/>
      <c r="J21" s="2851"/>
      <c r="K21" s="2850"/>
      <c r="L21" s="2850">
        <v>4000</v>
      </c>
      <c r="M21" s="2849"/>
      <c r="N21" s="2849"/>
      <c r="O21" s="2849"/>
      <c r="P21" s="2849"/>
      <c r="Q21" s="2849">
        <v>17</v>
      </c>
      <c r="R21" s="2849"/>
      <c r="S21" s="2849"/>
      <c r="T21" s="2849"/>
      <c r="U21" s="2849">
        <v>5.0999999999999996</v>
      </c>
      <c r="V21" s="2849">
        <v>0</v>
      </c>
      <c r="W21" s="2849">
        <v>10</v>
      </c>
      <c r="X21" s="2849"/>
      <c r="Y21" s="2849"/>
      <c r="Z21" s="2849"/>
      <c r="AA21" s="2849"/>
      <c r="AB21" s="2849"/>
      <c r="AC21" s="2849"/>
      <c r="AD21" s="2849"/>
      <c r="AE21" s="2849"/>
      <c r="AF21" s="2849"/>
      <c r="AG21" s="2849"/>
      <c r="AH21" s="2849"/>
      <c r="AI21" s="2849"/>
      <c r="AJ21" s="2849"/>
      <c r="AK21" s="2849">
        <v>1.2</v>
      </c>
      <c r="AL21" s="2849">
        <v>0.15</v>
      </c>
      <c r="AM21" s="2849">
        <v>1.5</v>
      </c>
      <c r="AN21" s="2849"/>
      <c r="AO21" s="2849"/>
      <c r="AP21" s="2849"/>
      <c r="AQ21" s="2849"/>
      <c r="AR21" s="2849"/>
    </row>
    <row r="22" spans="1:67" ht="14.25">
      <c r="A22" s="1859" t="s">
        <v>1659</v>
      </c>
      <c r="B22" s="109">
        <f>B19+B20</f>
        <v>3</v>
      </c>
      <c r="C22" s="2851"/>
      <c r="D22" s="2854"/>
      <c r="E22" s="2851"/>
      <c r="F22" s="2851"/>
      <c r="G22" s="2851"/>
      <c r="H22" s="2851">
        <v>5.5</v>
      </c>
      <c r="I22" s="2851">
        <v>6</v>
      </c>
      <c r="J22" s="2851">
        <v>7.5</v>
      </c>
      <c r="K22" s="2850"/>
      <c r="L22" s="2850">
        <v>2500</v>
      </c>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09">
        <f>B19+B21</f>
        <v>3</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14.25">
      <c r="A27" s="1863" t="s">
        <v>1665</v>
      </c>
      <c r="B27" s="111">
        <v>150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190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19">
        <v>0.03</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7">
        <v>0.03</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15" thickBot="1">
      <c r="A40" s="2995" t="s">
        <v>3189</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33" t="s">
        <v>2787</v>
      </c>
      <c r="B1" s="3334"/>
      <c r="C1" s="3334"/>
      <c r="D1" s="3334"/>
      <c r="E1" s="3334"/>
      <c r="F1" s="3334"/>
      <c r="G1" s="3334"/>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7"/>
      <c r="I2" s="887"/>
      <c r="J2" s="887"/>
      <c r="K2" s="887"/>
      <c r="L2" s="887"/>
      <c r="M2" s="887"/>
      <c r="N2" s="887"/>
      <c r="O2" s="887"/>
      <c r="P2" s="887"/>
      <c r="Q2" s="887"/>
      <c r="R2" s="887"/>
    </row>
    <row r="3" spans="1:29" ht="48">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75">
      <c r="A5" s="2617"/>
      <c r="B5" s="328" t="s">
        <v>2759</v>
      </c>
      <c r="C5" s="2643" t="s">
        <v>2760</v>
      </c>
      <c r="D5" s="2640"/>
      <c r="E5" s="2644"/>
      <c r="F5" s="328" t="s">
        <v>2761</v>
      </c>
      <c r="G5" s="2645" t="s">
        <v>2762</v>
      </c>
      <c r="H5" s="887"/>
      <c r="I5" s="887"/>
      <c r="J5" s="887"/>
      <c r="K5" s="887"/>
      <c r="L5" s="887"/>
      <c r="M5" s="887"/>
      <c r="N5" s="887"/>
      <c r="O5" s="887"/>
      <c r="P5" s="887"/>
      <c r="Q5" s="887"/>
      <c r="R5" s="887"/>
    </row>
    <row r="6" spans="1:29" ht="36">
      <c r="A6" s="2617"/>
      <c r="B6" s="328" t="s">
        <v>2763</v>
      </c>
      <c r="C6" s="2645" t="s">
        <v>2758</v>
      </c>
      <c r="D6" s="2640"/>
      <c r="E6" s="2644"/>
      <c r="F6" s="328" t="s">
        <v>2764</v>
      </c>
      <c r="G6" s="2645" t="s">
        <v>2765</v>
      </c>
      <c r="H6" s="887"/>
      <c r="I6" s="887"/>
      <c r="J6" s="887"/>
      <c r="K6" s="887"/>
      <c r="L6" s="887"/>
      <c r="M6" s="887"/>
      <c r="N6" s="887"/>
      <c r="O6" s="887"/>
      <c r="P6" s="887"/>
      <c r="Q6" s="887"/>
      <c r="R6" s="887"/>
    </row>
    <row r="7" spans="1:29" ht="24.75" thickBot="1">
      <c r="A7" s="2617"/>
      <c r="B7" s="328" t="s">
        <v>2761</v>
      </c>
      <c r="C7" s="2645" t="s">
        <v>2762</v>
      </c>
      <c r="D7" s="2646"/>
      <c r="E7" s="2647"/>
      <c r="F7" s="2648" t="s">
        <v>2766</v>
      </c>
      <c r="G7" s="2649" t="s">
        <v>2767</v>
      </c>
      <c r="H7" s="887"/>
      <c r="I7" s="887"/>
      <c r="J7" s="887"/>
      <c r="K7" s="887"/>
      <c r="L7" s="887"/>
      <c r="M7" s="887"/>
      <c r="N7" s="887"/>
      <c r="O7" s="887"/>
      <c r="P7" s="887"/>
      <c r="Q7" s="887"/>
      <c r="R7" s="887"/>
    </row>
    <row r="8" spans="1:29">
      <c r="A8" s="2617"/>
      <c r="B8" s="328" t="s">
        <v>2764</v>
      </c>
      <c r="C8" s="2645" t="s">
        <v>2765</v>
      </c>
      <c r="D8" s="2646"/>
      <c r="E8" s="2646"/>
      <c r="F8" s="2650"/>
      <c r="G8" s="2650"/>
      <c r="H8" s="887"/>
      <c r="I8" s="887"/>
      <c r="J8" s="887"/>
      <c r="K8" s="887"/>
      <c r="L8" s="887"/>
      <c r="M8" s="887"/>
      <c r="N8" s="887"/>
      <c r="O8" s="887"/>
      <c r="P8" s="887"/>
      <c r="Q8" s="887"/>
      <c r="R8" s="887"/>
    </row>
    <row r="9" spans="1:29" ht="24">
      <c r="A9" s="2617"/>
      <c r="B9" s="328" t="s">
        <v>2768</v>
      </c>
      <c r="C9" s="2643" t="s">
        <v>2769</v>
      </c>
      <c r="D9" s="2640"/>
      <c r="E9" s="2646"/>
      <c r="F9" s="2650"/>
      <c r="G9" s="2650"/>
      <c r="H9" s="887"/>
      <c r="I9" s="887"/>
      <c r="J9" s="887"/>
      <c r="K9" s="887"/>
      <c r="L9" s="887"/>
      <c r="M9" s="887"/>
      <c r="N9" s="887"/>
      <c r="O9" s="887"/>
      <c r="P9" s="887"/>
      <c r="Q9" s="887"/>
      <c r="R9" s="887"/>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8"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8" t="s">
        <v>2764</v>
      </c>
      <c r="G20" s="2678" t="str">
        <f>G6</f>
        <v>估价对象所在区域基础设施水平</v>
      </c>
    </row>
    <row r="21" spans="1:18" ht="25.5">
      <c r="A21" s="2621"/>
      <c r="B21" s="328" t="s">
        <v>2761</v>
      </c>
      <c r="C21" s="2678" t="str">
        <f>C7</f>
        <v>估价对象所在区域公共配套设施齐备情况</v>
      </c>
      <c r="D21" s="2640"/>
      <c r="E21" s="2622"/>
      <c r="F21" s="2677" t="s">
        <v>2779</v>
      </c>
      <c r="G21" s="2680"/>
    </row>
    <row r="22" spans="1:18" ht="13.5" customHeight="1">
      <c r="A22" s="2621"/>
      <c r="B22" s="328" t="s">
        <v>2764</v>
      </c>
      <c r="C22" s="2678" t="str">
        <f>C8</f>
        <v>估价对象所在区域基础设施水平</v>
      </c>
      <c r="D22" s="2640"/>
      <c r="E22" s="2622"/>
      <c r="F22" s="2677" t="s">
        <v>2770</v>
      </c>
      <c r="G22" s="2679"/>
    </row>
    <row r="23" spans="1:18" s="887" customFormat="1" ht="15"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5"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7" sqref="H37"/>
    </sheetView>
  </sheetViews>
  <sheetFormatPr defaultColWidth="9" defaultRowHeight="13.5"/>
  <cols>
    <col min="1" max="1" width="25" style="2688" customWidth="1"/>
    <col min="2" max="9" width="15.75" style="2688" customWidth="1"/>
    <col min="10" max="16384" width="9" style="2688"/>
  </cols>
  <sheetData>
    <row r="1" spans="1:11">
      <c r="A1" s="2687" t="s">
        <v>1090</v>
      </c>
      <c r="B1" s="2687">
        <f>SUM(B14:B23)</f>
        <v>210956.06</v>
      </c>
      <c r="C1" s="2864"/>
      <c r="D1" s="2864"/>
      <c r="E1" s="2864"/>
      <c r="F1" s="2864"/>
      <c r="G1" s="2865"/>
      <c r="H1" s="2866"/>
      <c r="I1" s="2866"/>
      <c r="J1" s="2866"/>
      <c r="K1" s="2866"/>
    </row>
    <row r="2" spans="1:11">
      <c r="A2" s="2687" t="s">
        <v>1078</v>
      </c>
      <c r="B2" s="2687">
        <f>SUM(C14:C23)</f>
        <v>55191.78</v>
      </c>
      <c r="C2" s="2864"/>
      <c r="D2" s="2864"/>
      <c r="E2" s="2864"/>
      <c r="F2" s="2864"/>
      <c r="G2" s="2865"/>
      <c r="H2" s="2866"/>
      <c r="I2" s="2866"/>
      <c r="J2" s="2866"/>
      <c r="K2" s="2866"/>
    </row>
    <row r="3" spans="1:11">
      <c r="A3" s="2687" t="s">
        <v>1087</v>
      </c>
      <c r="B3" s="2689">
        <f>项目基本情况!D3</f>
        <v>44823</v>
      </c>
      <c r="C3" s="2864"/>
      <c r="D3" s="2864"/>
      <c r="E3" s="2864"/>
      <c r="F3" s="2864"/>
      <c r="G3" s="2865"/>
      <c r="H3" s="2866"/>
      <c r="I3" s="2866"/>
      <c r="J3" s="2866"/>
      <c r="K3" s="2866"/>
    </row>
    <row r="4" spans="1:11" ht="27">
      <c r="A4" s="2687" t="s">
        <v>1086</v>
      </c>
      <c r="B4" s="2687" t="s">
        <v>1085</v>
      </c>
      <c r="C4" s="2687" t="s">
        <v>1084</v>
      </c>
      <c r="D4" s="2687" t="s">
        <v>1083</v>
      </c>
      <c r="E4" s="2864"/>
      <c r="F4" s="2865"/>
      <c r="G4" s="2865"/>
      <c r="H4" s="2866"/>
      <c r="I4" s="2866"/>
      <c r="J4" s="2866"/>
      <c r="K4" s="2866"/>
    </row>
    <row r="5" spans="1:11">
      <c r="A5" s="2687" t="s">
        <v>1082</v>
      </c>
      <c r="B5" s="2687">
        <f ca="1">SUM(D14:D23)</f>
        <v>325592</v>
      </c>
      <c r="C5" s="2687">
        <f ca="1">ROUND(B5*10000/$B$1,0)</f>
        <v>15434</v>
      </c>
      <c r="D5" s="2687">
        <f ca="1">ROUND(B5*10000/$B$2,0)</f>
        <v>58993</v>
      </c>
      <c r="E5" s="2864"/>
      <c r="F5" s="2865"/>
      <c r="G5" s="2865"/>
      <c r="H5" s="2866"/>
      <c r="I5" s="2866"/>
      <c r="J5" s="2866"/>
      <c r="K5" s="2866"/>
    </row>
    <row r="6" spans="1:11">
      <c r="A6" s="2687" t="s">
        <v>1081</v>
      </c>
      <c r="B6" s="2687">
        <f ca="1">SUM(G14:G23)</f>
        <v>325592</v>
      </c>
      <c r="C6" s="2687">
        <f ca="1">ROUND(B6*10000/$B$1,0)</f>
        <v>15434</v>
      </c>
      <c r="D6" s="2687">
        <f ca="1">ROUND(B6*10000/$B$2,0)</f>
        <v>58993</v>
      </c>
      <c r="E6" s="2864"/>
      <c r="F6" s="2865"/>
      <c r="G6" s="2865"/>
      <c r="H6" s="2866"/>
      <c r="I6" s="2866"/>
      <c r="J6" s="2866"/>
      <c r="K6" s="2866"/>
    </row>
    <row r="7" spans="1:11">
      <c r="A7" s="2687" t="s">
        <v>1089</v>
      </c>
      <c r="B7" s="2687">
        <f>SUM(H14:H23)</f>
        <v>0</v>
      </c>
      <c r="C7" s="2687">
        <f>ROUND(B7*10000/$B$1,0)</f>
        <v>0</v>
      </c>
      <c r="D7" s="2687">
        <f>ROUND(B7*10000/$B$2,0)</f>
        <v>0</v>
      </c>
      <c r="E7" s="2864"/>
      <c r="F7" s="2865"/>
      <c r="G7" s="2865"/>
      <c r="H7" s="2866"/>
      <c r="I7" s="2866"/>
      <c r="J7" s="2866"/>
      <c r="K7" s="2866"/>
    </row>
    <row r="8" spans="1:11">
      <c r="A8" s="2687" t="s">
        <v>1012</v>
      </c>
      <c r="B8" s="2687">
        <f ca="1">SUM(I14:I23)</f>
        <v>302147</v>
      </c>
      <c r="C8" s="2687">
        <f ca="1">ROUND(B8*10000/$B$1,0)</f>
        <v>14323</v>
      </c>
      <c r="D8" s="2687">
        <f ca="1">ROUND(B8*10000/$B$2,0)</f>
        <v>54745</v>
      </c>
      <c r="E8" s="2864"/>
      <c r="F8" s="2865"/>
      <c r="G8" s="2865"/>
      <c r="H8" s="2866"/>
      <c r="I8" s="2866"/>
      <c r="J8" s="2866"/>
      <c r="K8" s="2866"/>
    </row>
    <row r="9" spans="1:11">
      <c r="A9" s="2687" t="s">
        <v>1080</v>
      </c>
      <c r="B9" s="2695"/>
      <c r="C9" s="2864"/>
      <c r="D9" s="2864"/>
      <c r="E9" s="2864"/>
      <c r="F9" s="2865"/>
      <c r="G9" s="2865"/>
      <c r="H9" s="2866"/>
      <c r="I9" s="2866"/>
      <c r="J9" s="2866"/>
      <c r="K9" s="2866"/>
    </row>
    <row r="10" spans="1:11">
      <c r="A10" s="2687" t="s">
        <v>1079</v>
      </c>
      <c r="B10" s="2695"/>
      <c r="C10" s="2864"/>
      <c r="D10" s="2864"/>
      <c r="E10" s="2864"/>
      <c r="F10" s="2865"/>
      <c r="G10" s="2865"/>
      <c r="H10" s="2866"/>
      <c r="I10" s="2866"/>
      <c r="J10" s="2866"/>
      <c r="K10" s="2866"/>
    </row>
    <row r="11" spans="1:11">
      <c r="A11" s="2687" t="s">
        <v>1095</v>
      </c>
      <c r="B11" s="2695"/>
      <c r="C11" s="2864"/>
      <c r="D11" s="2864"/>
      <c r="E11" s="2864"/>
      <c r="F11" s="2865"/>
      <c r="G11" s="2865"/>
      <c r="H11" s="2866"/>
      <c r="I11" s="2866"/>
      <c r="J11" s="2866"/>
      <c r="K11" s="2866"/>
    </row>
    <row r="12" spans="1:11">
      <c r="A12" s="2864"/>
      <c r="B12" s="2864"/>
      <c r="C12" s="2864"/>
      <c r="D12" s="2864"/>
      <c r="E12" s="2864"/>
      <c r="F12" s="2865"/>
      <c r="G12" s="2865"/>
      <c r="H12" s="2866"/>
      <c r="I12" s="2866"/>
      <c r="J12" s="2866"/>
      <c r="K12" s="2866"/>
    </row>
    <row r="13" spans="1:11" ht="27">
      <c r="A13" s="2690" t="s">
        <v>1094</v>
      </c>
      <c r="B13" s="2691" t="s">
        <v>1091</v>
      </c>
      <c r="C13" s="2691" t="s">
        <v>1093</v>
      </c>
      <c r="D13" s="2691" t="s">
        <v>1092</v>
      </c>
      <c r="E13" s="2687" t="s">
        <v>1084</v>
      </c>
      <c r="F13" s="2687" t="s">
        <v>1083</v>
      </c>
      <c r="G13" s="2691" t="s">
        <v>1077</v>
      </c>
      <c r="H13" s="2691" t="s">
        <v>1088</v>
      </c>
      <c r="I13" s="2691" t="s">
        <v>1076</v>
      </c>
      <c r="J13" s="2865"/>
      <c r="K13" s="2866"/>
    </row>
    <row r="14" spans="1:11">
      <c r="A14" s="2692" t="s">
        <v>1075</v>
      </c>
      <c r="B14" s="2693">
        <f>结果表!B118</f>
        <v>210956.06</v>
      </c>
      <c r="C14" s="2693">
        <f>结果表!C118</f>
        <v>55191.78</v>
      </c>
      <c r="D14" s="2693">
        <f ca="1">结果表!H118</f>
        <v>325592</v>
      </c>
      <c r="E14" s="2693">
        <f ca="1">ROUND(D14*10000/B14,0)</f>
        <v>15434</v>
      </c>
      <c r="F14" s="2693">
        <f ca="1">ROUND(D14*10000/C14,0)</f>
        <v>58993</v>
      </c>
      <c r="G14" s="2693">
        <f ca="1">结果表!D122</f>
        <v>325592</v>
      </c>
      <c r="H14" s="2693" t="str">
        <f>结果表!D124</f>
        <v>——</v>
      </c>
      <c r="I14" s="2693">
        <f ca="1">结果表!D126</f>
        <v>302147</v>
      </c>
      <c r="J14" s="2865"/>
      <c r="K14" s="2866"/>
    </row>
    <row r="15" spans="1:11">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c r="A16" s="2692" t="s">
        <v>1073</v>
      </c>
      <c r="B16" s="2694"/>
      <c r="C16" s="2694"/>
      <c r="D16" s="2694"/>
      <c r="E16" s="2693" t="e">
        <f t="shared" si="0"/>
        <v>#DIV/0!</v>
      </c>
      <c r="F16" s="2693" t="e">
        <f t="shared" si="1"/>
        <v>#DIV/0!</v>
      </c>
      <c r="G16" s="1451"/>
      <c r="H16" s="1451"/>
      <c r="I16" s="2694"/>
      <c r="J16" s="2866"/>
      <c r="K16" s="2866"/>
    </row>
    <row r="17" spans="1:11">
      <c r="A17" s="2692" t="s">
        <v>1072</v>
      </c>
      <c r="B17" s="2694"/>
      <c r="C17" s="2694"/>
      <c r="D17" s="2694"/>
      <c r="E17" s="2693" t="e">
        <f t="shared" si="0"/>
        <v>#DIV/0!</v>
      </c>
      <c r="F17" s="2693" t="e">
        <f t="shared" si="1"/>
        <v>#DIV/0!</v>
      </c>
      <c r="G17" s="1451"/>
      <c r="H17" s="1451"/>
      <c r="I17" s="2694"/>
      <c r="J17" s="2866"/>
      <c r="K17" s="2866"/>
    </row>
    <row r="18" spans="1:11">
      <c r="A18" s="2692" t="s">
        <v>1071</v>
      </c>
      <c r="B18" s="2694"/>
      <c r="C18" s="2694"/>
      <c r="D18" s="2694"/>
      <c r="E18" s="2693" t="e">
        <f t="shared" si="0"/>
        <v>#DIV/0!</v>
      </c>
      <c r="F18" s="2693" t="e">
        <f t="shared" si="1"/>
        <v>#DIV/0!</v>
      </c>
      <c r="G18" s="2694"/>
      <c r="H18" s="2694"/>
      <c r="I18" s="2694"/>
      <c r="J18" s="2866"/>
      <c r="K18" s="2866"/>
    </row>
    <row r="19" spans="1:11">
      <c r="A19" s="2692" t="s">
        <v>1070</v>
      </c>
      <c r="B19" s="2694"/>
      <c r="C19" s="2694"/>
      <c r="D19" s="2694"/>
      <c r="E19" s="2693" t="e">
        <f t="shared" si="0"/>
        <v>#DIV/0!</v>
      </c>
      <c r="F19" s="2693" t="e">
        <f t="shared" si="1"/>
        <v>#DIV/0!</v>
      </c>
      <c r="G19" s="2694"/>
      <c r="H19" s="2694"/>
      <c r="I19" s="2694"/>
      <c r="J19" s="2866"/>
      <c r="K19" s="2866"/>
    </row>
    <row r="20" spans="1:11">
      <c r="A20" s="2692" t="s">
        <v>1069</v>
      </c>
      <c r="B20" s="2694"/>
      <c r="C20" s="2694"/>
      <c r="D20" s="2694"/>
      <c r="E20" s="2693" t="e">
        <f t="shared" si="0"/>
        <v>#DIV/0!</v>
      </c>
      <c r="F20" s="2693" t="e">
        <f t="shared" si="1"/>
        <v>#DIV/0!</v>
      </c>
      <c r="G20" s="2694"/>
      <c r="H20" s="2694"/>
      <c r="I20" s="2694"/>
      <c r="J20" s="2866"/>
      <c r="K20" s="2866"/>
    </row>
    <row r="21" spans="1:11">
      <c r="A21" s="2692" t="s">
        <v>1068</v>
      </c>
      <c r="B21" s="2694"/>
      <c r="C21" s="2694"/>
      <c r="D21" s="2694"/>
      <c r="E21" s="2693" t="e">
        <f t="shared" si="0"/>
        <v>#DIV/0!</v>
      </c>
      <c r="F21" s="2693" t="e">
        <f t="shared" si="1"/>
        <v>#DIV/0!</v>
      </c>
      <c r="G21" s="2694"/>
      <c r="H21" s="2694"/>
      <c r="I21" s="2694"/>
      <c r="J21" s="2866"/>
      <c r="K21" s="2866"/>
    </row>
    <row r="22" spans="1:11">
      <c r="A22" s="2692" t="s">
        <v>1067</v>
      </c>
      <c r="B22" s="2694"/>
      <c r="C22" s="2694"/>
      <c r="D22" s="2694"/>
      <c r="E22" s="2693" t="e">
        <f t="shared" si="0"/>
        <v>#DIV/0!</v>
      </c>
      <c r="F22" s="2693" t="e">
        <f t="shared" si="1"/>
        <v>#DIV/0!</v>
      </c>
      <c r="G22" s="2694"/>
      <c r="H22" s="2694"/>
      <c r="I22" s="2694"/>
      <c r="J22" s="2866"/>
      <c r="K22" s="2866"/>
    </row>
    <row r="23" spans="1:11">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2" zoomScale="90" zoomScaleNormal="100" zoomScaleSheetLayoutView="90" zoomScalePageLayoutView="80" workbookViewId="0">
      <selection activeCell="L101" sqref="L101"/>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69" t="str">
        <f>项目基本情况!S2</f>
        <v>北京市房地产</v>
      </c>
      <c r="B2" s="3370"/>
      <c r="C2" s="3370"/>
      <c r="D2" s="3370"/>
      <c r="E2" s="3370"/>
      <c r="F2" s="3370"/>
      <c r="G2" s="3370"/>
      <c r="H2" s="3370"/>
      <c r="I2" s="3371"/>
    </row>
    <row r="3" spans="1:12" ht="12.75">
      <c r="A3" s="3373" t="s">
        <v>1709</v>
      </c>
      <c r="B3" s="3374"/>
      <c r="C3" s="3374"/>
      <c r="D3" s="3374"/>
      <c r="E3" s="3374"/>
      <c r="F3" s="3374"/>
      <c r="G3" s="3374"/>
      <c r="H3" s="3374"/>
      <c r="I3" s="3374"/>
    </row>
    <row r="4" spans="1:12" ht="14.25">
      <c r="A4" s="1890" t="s">
        <v>1710</v>
      </c>
      <c r="B4" s="1891" t="s">
        <v>1711</v>
      </c>
      <c r="C4" s="1892" t="s">
        <v>3191</v>
      </c>
      <c r="D4" s="1892" t="s">
        <v>3200</v>
      </c>
      <c r="E4" s="3375" t="s">
        <v>1712</v>
      </c>
      <c r="F4" s="3376"/>
      <c r="G4" s="3376"/>
      <c r="H4" s="3376"/>
      <c r="I4" s="3377"/>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349" t="s">
        <v>1713</v>
      </c>
      <c r="B5" s="3336">
        <v>25</v>
      </c>
      <c r="C5" s="3352"/>
      <c r="D5" s="3372"/>
      <c r="E5" s="135" t="s">
        <v>1714</v>
      </c>
      <c r="F5" s="1893"/>
      <c r="G5" s="1893"/>
      <c r="H5" s="1893"/>
      <c r="I5" s="1507"/>
    </row>
    <row r="6" spans="1:12" ht="12.75">
      <c r="A6" s="3349"/>
      <c r="B6" s="3336"/>
      <c r="C6" s="3353"/>
      <c r="D6" s="3372"/>
      <c r="E6" s="135" t="s">
        <v>1715</v>
      </c>
      <c r="F6" s="1893"/>
      <c r="G6" s="1893"/>
      <c r="H6" s="1893"/>
      <c r="I6" s="1507"/>
    </row>
    <row r="7" spans="1:12" ht="12.75">
      <c r="A7" s="3349"/>
      <c r="B7" s="3336"/>
      <c r="C7" s="3354"/>
      <c r="D7" s="3372"/>
      <c r="E7" s="135" t="s">
        <v>1716</v>
      </c>
      <c r="F7" s="1893"/>
      <c r="G7" s="1893"/>
      <c r="H7" s="1893"/>
      <c r="I7" s="1507"/>
    </row>
    <row r="8" spans="1:12" ht="12.75">
      <c r="A8" s="3349" t="s">
        <v>1717</v>
      </c>
      <c r="B8" s="3336">
        <v>15</v>
      </c>
      <c r="C8" s="3352"/>
      <c r="D8" s="3372"/>
      <c r="E8" s="135" t="s">
        <v>1718</v>
      </c>
      <c r="F8" s="1893"/>
      <c r="G8" s="1893"/>
      <c r="H8" s="1893"/>
      <c r="I8" s="1507"/>
    </row>
    <row r="9" spans="1:12" ht="12.75">
      <c r="A9" s="3349"/>
      <c r="B9" s="3336"/>
      <c r="C9" s="3354"/>
      <c r="D9" s="3372"/>
      <c r="E9" s="135" t="s">
        <v>1719</v>
      </c>
      <c r="F9" s="1893"/>
      <c r="G9" s="1893"/>
      <c r="H9" s="1893"/>
      <c r="I9" s="1507"/>
    </row>
    <row r="10" spans="1:12" ht="12.75">
      <c r="A10" s="3349" t="s">
        <v>1720</v>
      </c>
      <c r="B10" s="3336">
        <v>15</v>
      </c>
      <c r="C10" s="3352"/>
      <c r="D10" s="3372"/>
      <c r="E10" s="135" t="s">
        <v>1721</v>
      </c>
      <c r="F10" s="1893"/>
      <c r="G10" s="1893"/>
      <c r="H10" s="1893"/>
      <c r="I10" s="1507"/>
    </row>
    <row r="11" spans="1:12" ht="12.75">
      <c r="A11" s="3349"/>
      <c r="B11" s="3336"/>
      <c r="C11" s="3354"/>
      <c r="D11" s="3372"/>
      <c r="E11" s="135" t="s">
        <v>1722</v>
      </c>
      <c r="F11" s="1893"/>
      <c r="G11" s="1893"/>
      <c r="H11" s="1893"/>
      <c r="I11" s="1507"/>
    </row>
    <row r="12" spans="1:12" ht="12.75">
      <c r="A12" s="3349" t="s">
        <v>1723</v>
      </c>
      <c r="B12" s="3336">
        <v>15</v>
      </c>
      <c r="C12" s="3352"/>
      <c r="D12" s="3372"/>
      <c r="E12" s="135" t="s">
        <v>1724</v>
      </c>
      <c r="F12" s="1893"/>
      <c r="G12" s="1893"/>
      <c r="H12" s="1893"/>
      <c r="I12" s="1507"/>
    </row>
    <row r="13" spans="1:12" ht="12.75">
      <c r="A13" s="3349"/>
      <c r="B13" s="3336"/>
      <c r="C13" s="3354"/>
      <c r="D13" s="3372"/>
      <c r="E13" s="135" t="s">
        <v>1725</v>
      </c>
      <c r="F13" s="1893"/>
      <c r="G13" s="1893"/>
      <c r="H13" s="1893"/>
      <c r="I13" s="1507"/>
    </row>
    <row r="14" spans="1:12" ht="12.75">
      <c r="A14" s="3349" t="s">
        <v>1726</v>
      </c>
      <c r="B14" s="3336">
        <v>30</v>
      </c>
      <c r="C14" s="3352">
        <v>5</v>
      </c>
      <c r="D14" s="3372">
        <v>5</v>
      </c>
      <c r="E14" s="135" t="s">
        <v>1727</v>
      </c>
      <c r="F14" s="1893"/>
      <c r="G14" s="1893"/>
      <c r="H14" s="1893"/>
      <c r="I14" s="1507"/>
    </row>
    <row r="15" spans="1:12" ht="12.75">
      <c r="A15" s="3349"/>
      <c r="B15" s="3336"/>
      <c r="C15" s="3353"/>
      <c r="D15" s="3372"/>
      <c r="E15" s="135" t="s">
        <v>1728</v>
      </c>
      <c r="F15" s="1893"/>
      <c r="G15" s="1893"/>
      <c r="H15" s="1893"/>
      <c r="I15" s="1507"/>
    </row>
    <row r="16" spans="1:12" ht="12.75">
      <c r="A16" s="3349"/>
      <c r="B16" s="3336"/>
      <c r="C16" s="3354"/>
      <c r="D16" s="3372"/>
      <c r="E16" s="135" t="s">
        <v>1729</v>
      </c>
      <c r="F16" s="1893"/>
      <c r="G16" s="1893"/>
      <c r="H16" s="1893"/>
      <c r="I16" s="1507"/>
    </row>
    <row r="17" spans="1:36" ht="15">
      <c r="A17" s="1894" t="s">
        <v>1730</v>
      </c>
      <c r="B17" s="60"/>
      <c r="C17" s="136">
        <f>SUM(C5:C16)</f>
        <v>5</v>
      </c>
      <c r="D17" s="136">
        <f>SUM(D5:D16)</f>
        <v>5</v>
      </c>
      <c r="E17" s="133"/>
      <c r="F17" s="133"/>
      <c r="G17" s="133"/>
      <c r="H17" s="133"/>
      <c r="I17" s="133"/>
      <c r="K17" s="307"/>
      <c r="L17" s="307" t="s">
        <v>1731</v>
      </c>
      <c r="M17" s="307" t="s">
        <v>1732</v>
      </c>
    </row>
    <row r="18" spans="1:36" ht="31.9" customHeight="1" thickBot="1">
      <c r="A18" s="1895" t="s">
        <v>1733</v>
      </c>
      <c r="B18" s="1896"/>
      <c r="C18" s="137">
        <f>ROUND(C17/SUM(C17:D17),2)</f>
        <v>0.5</v>
      </c>
      <c r="D18" s="137">
        <f>1-C18</f>
        <v>0.5</v>
      </c>
      <c r="E18" s="3359" t="s">
        <v>2632</v>
      </c>
      <c r="F18" s="3360"/>
      <c r="G18" s="3360"/>
      <c r="H18" s="3360"/>
      <c r="I18" s="3360"/>
      <c r="K18" s="307" t="s">
        <v>1734</v>
      </c>
      <c r="L18" s="307">
        <f>IF(C1="",'数据-汇总表'!E3,SUMIF(项目类型,C1,'数据-汇总表'!E17:E26)+SUMIF(项目类型,C1,'数据-汇总表'!I17:I26))</f>
        <v>210956.06</v>
      </c>
      <c r="M18" s="307">
        <f>IF(C1="",'数据-汇总表'!E3,SUMIF(项目类型,C1,'数据-汇总表'!E17:E26))</f>
        <v>210956.06</v>
      </c>
    </row>
    <row r="19" spans="1:36" ht="15">
      <c r="A19" s="1897" t="s">
        <v>1735</v>
      </c>
      <c r="B19" s="1898" t="s">
        <v>1736</v>
      </c>
      <c r="C19" s="138">
        <f ca="1">SUMIF(INDIRECT("'"&amp;C4&amp;"'"&amp;"!A:A"),结果表!B19,INDIRECT("'"&amp;C4&amp;"'"&amp;"!B:B"))</f>
        <v>314553</v>
      </c>
      <c r="D19" s="139">
        <f ca="1">SUMIF(INDIRECT("'"&amp;D4&amp;"'"&amp;"!A:A"),结果表!B19,INDIRECT("'"&amp;D4&amp;"'"&amp;"!B:B"))</f>
        <v>336631</v>
      </c>
      <c r="E19" s="1897" t="s">
        <v>1737</v>
      </c>
      <c r="F19" s="1898" t="s">
        <v>1736</v>
      </c>
      <c r="G19" s="140">
        <f ca="1">ROUND(C19*$C$18+D19*$D$18,0)</f>
        <v>325592</v>
      </c>
      <c r="H19" s="1899" t="s">
        <v>1738</v>
      </c>
      <c r="I19" s="133"/>
      <c r="K19" s="307" t="s">
        <v>1739</v>
      </c>
      <c r="L19" s="307">
        <f>IF(C1="",'数据-汇总表'!D3,SUMIF(项目类型,C1,'数据-汇总表'!D17:D26)+SUMIF(项目类型,C1,'数据-汇总表'!H17:H27))</f>
        <v>55191.78</v>
      </c>
      <c r="M19" s="307">
        <f>IF(C1="",'数据-汇总表'!D3,SUMIF(项目类型,C1,'数据-汇总表'!D17:D26))</f>
        <v>55191.78</v>
      </c>
    </row>
    <row r="20" spans="1:36" ht="15">
      <c r="A20" s="1900"/>
      <c r="B20" s="1137" t="s">
        <v>1740</v>
      </c>
      <c r="C20" s="141">
        <f ca="1">SUMIF(INDIRECT("'"&amp;C4&amp;"'"&amp;"!A:A"),结果表!B20,INDIRECT("'"&amp;C4&amp;"'"&amp;"!B:B"))</f>
        <v>16269</v>
      </c>
      <c r="D20" s="142">
        <f ca="1">SUMIF(INDIRECT("'"&amp;D4&amp;"'"&amp;"!A:A"),结果表!B20,INDIRECT("'"&amp;D4&amp;"'"&amp;"!B:B"))</f>
        <v>15957</v>
      </c>
      <c r="E20" s="1900"/>
      <c r="F20" s="1137" t="s">
        <v>1740</v>
      </c>
      <c r="G20" s="143">
        <f ca="1">ROUND(C20*$C$18+D20*$D$18,0)</f>
        <v>16113</v>
      </c>
      <c r="H20" s="897" t="s">
        <v>1741</v>
      </c>
      <c r="I20" s="133"/>
    </row>
    <row r="21" spans="1:36" ht="15" customHeight="1" thickBot="1">
      <c r="A21" s="917"/>
      <c r="B21" s="1901" t="s">
        <v>1742</v>
      </c>
      <c r="C21" s="727">
        <f ca="1">ROUND(C19*10000/L19,0)</f>
        <v>56993</v>
      </c>
      <c r="D21" s="728">
        <f ca="1">ROUND(D19*10000/L19,0)</f>
        <v>60993</v>
      </c>
      <c r="E21" s="917"/>
      <c r="F21" s="1901" t="s">
        <v>1742</v>
      </c>
      <c r="G21" s="144">
        <f ca="1">ROUND(G19*10000/L19,0)</f>
        <v>58993</v>
      </c>
      <c r="H21" s="1902" t="s">
        <v>1741</v>
      </c>
      <c r="I21" s="133"/>
    </row>
    <row r="22" spans="1:36" ht="15" thickBot="1">
      <c r="A22" s="1824" t="s">
        <v>1743</v>
      </c>
      <c r="B22" s="1903"/>
      <c r="C22" s="1904"/>
      <c r="D22" s="729">
        <f ca="1">IF(C19&lt;D19,D19/C19-1,C19/D19-1)</f>
        <v>7.0188489698079559E-2</v>
      </c>
      <c r="E22" s="133"/>
      <c r="F22" s="133"/>
      <c r="G22" s="133"/>
      <c r="H22" s="133"/>
      <c r="I22" s="133"/>
    </row>
    <row r="23" spans="1:36" ht="13.5" thickBot="1">
      <c r="A23" s="1883"/>
      <c r="B23" s="1883"/>
      <c r="C23" s="1883"/>
      <c r="D23" s="1883"/>
      <c r="E23" s="133"/>
      <c r="F23" s="133"/>
      <c r="G23" s="133"/>
      <c r="H23" s="133"/>
      <c r="I23" s="133"/>
    </row>
    <row r="24" spans="1:36" ht="14.25">
      <c r="A24" s="3343" t="s">
        <v>1744</v>
      </c>
      <c r="B24" s="1898" t="s">
        <v>1736</v>
      </c>
      <c r="C24" s="140">
        <f>IF(B30=0,0,D30)</f>
        <v>0</v>
      </c>
      <c r="D24" s="1905"/>
      <c r="E24" s="133"/>
      <c r="F24" s="133"/>
      <c r="G24" s="133"/>
      <c r="H24" s="133"/>
      <c r="I24" s="133"/>
      <c r="K24" s="733">
        <v>1300000000</v>
      </c>
    </row>
    <row r="25" spans="1:36" ht="14.25">
      <c r="A25" s="3344"/>
      <c r="B25" s="1137" t="s">
        <v>1740</v>
      </c>
      <c r="C25" s="145">
        <f>IF(B30=0,0,C30)</f>
        <v>0</v>
      </c>
      <c r="D25" s="1906"/>
      <c r="E25" s="133"/>
      <c r="F25" s="133"/>
      <c r="G25" s="133"/>
      <c r="H25" s="133"/>
      <c r="I25" s="133"/>
      <c r="K25" s="733">
        <f>K24/'数据-基础表'!A3</f>
        <v>23554.232170080399</v>
      </c>
    </row>
    <row r="26" spans="1:36" ht="13.5" customHeight="1">
      <c r="A26" s="1907" t="s">
        <v>1745</v>
      </c>
      <c r="B26" s="146" t="s">
        <v>1746</v>
      </c>
      <c r="C26" s="146" t="s">
        <v>1747</v>
      </c>
      <c r="D26" s="147" t="s">
        <v>1748</v>
      </c>
      <c r="E26" s="133"/>
      <c r="F26" s="133"/>
      <c r="G26" s="133"/>
      <c r="H26" s="133"/>
      <c r="I26" s="133"/>
      <c r="K26" s="733">
        <f>K24/'数据-汇总表'!F27</f>
        <v>10365.261448172139</v>
      </c>
    </row>
    <row r="27" spans="1:36" ht="14.25">
      <c r="A27" s="1907"/>
      <c r="B27" s="146">
        <v>0</v>
      </c>
      <c r="C27" s="146">
        <f ca="1">G19/('数据-基础表'!I13+'数据-基础表'!K13)</f>
        <v>2.2498141404707628</v>
      </c>
      <c r="D27" s="147">
        <f ca="1">ROUND(C27*B27/10000,0)</f>
        <v>0</v>
      </c>
      <c r="E27" s="133"/>
      <c r="F27" s="133"/>
      <c r="G27" s="133"/>
      <c r="H27" s="133"/>
      <c r="I27" s="133"/>
      <c r="K27" s="733">
        <f>C91*10000/'数据-汇总表'!E31</f>
        <v>3961.0205840969916</v>
      </c>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325592</v>
      </c>
      <c r="D32" s="1911" t="s">
        <v>3201</v>
      </c>
      <c r="E32" s="133"/>
      <c r="F32" s="133"/>
      <c r="G32" s="133"/>
      <c r="H32" s="133"/>
      <c r="I32" s="133"/>
    </row>
    <row r="33" spans="1:15" ht="15">
      <c r="A33" s="874" t="s">
        <v>1751</v>
      </c>
      <c r="B33" s="1912"/>
      <c r="C33" s="1913" t="s">
        <v>3202</v>
      </c>
      <c r="D33" s="1914" t="s">
        <v>3200</v>
      </c>
      <c r="E33" s="1915" t="s">
        <v>1752</v>
      </c>
      <c r="F33" s="1916" t="str">
        <f>IF(D32="楼面单价","取值（单价）","取值（总价）")</f>
        <v>取值（总价）</v>
      </c>
      <c r="G33" s="133"/>
      <c r="H33" s="133"/>
      <c r="I33" s="133"/>
    </row>
    <row r="34" spans="1:15" ht="15">
      <c r="A34" s="1917"/>
      <c r="B34" s="1918" t="s">
        <v>1753</v>
      </c>
      <c r="C34" s="152">
        <f ca="1">IF(C33="自定义",F34,C32-C35)</f>
        <v>181029</v>
      </c>
      <c r="D34" s="950">
        <f ca="1">IF(C33="自定义",ROUND(C34/C32,3),IF(C33="收益比率",SUMIF(INDIRECT("'"&amp;D33&amp;"'"&amp;"!b:b"),"土地收益比率",INDIRECT("'"&amp;D33&amp;"'"&amp;"!c:c")),SUMIF(INDIRECT("'"&amp;D33&amp;"'"&amp;"!b:b"),"土地成本比率",INDIRECT("'"&amp;D33&amp;"'"&amp;"!c:c"))))</f>
        <v>0.55600000000000005</v>
      </c>
      <c r="E34" s="1919" t="s">
        <v>1754</v>
      </c>
      <c r="F34" s="1450"/>
      <c r="G34" s="133"/>
      <c r="H34" s="133"/>
      <c r="I34" s="133"/>
    </row>
    <row r="35" spans="1:15" ht="15.75" thickBot="1">
      <c r="A35" s="1920"/>
      <c r="B35" s="1921" t="s">
        <v>1755</v>
      </c>
      <c r="C35" s="1284">
        <f ca="1">IF(C33="自定义",F35,ROUND(C32*D35,0))</f>
        <v>144563</v>
      </c>
      <c r="D35" s="1285">
        <f ca="1">IF(C33="自定义",ROUND(C35/C32,3),IF(C33="收益比率",SUMIF(INDIRECT("'"&amp;D33&amp;"'"&amp;"!b:b"),"建筑物收益比率",INDIRECT("'"&amp;D33&amp;"'"&amp;"!c:c")),SUMIF(INDIRECT("'"&amp;D33&amp;"'"&amp;"!b:b"),"建筑物成本比率",INDIRECT("'"&amp;D33&amp;"'"&amp;"!c:c"))))</f>
        <v>0.44400000000000001</v>
      </c>
      <c r="E35" s="1922" t="s">
        <v>1756</v>
      </c>
      <c r="F35" s="158"/>
      <c r="G35" s="133"/>
      <c r="H35" s="133"/>
      <c r="I35" s="133"/>
    </row>
    <row r="36" spans="1:15" ht="15.75" thickBot="1">
      <c r="A36" s="3363" t="s">
        <v>1757</v>
      </c>
      <c r="B36" s="1923" t="s">
        <v>1758</v>
      </c>
      <c r="C36" s="149"/>
      <c r="D36" s="1924"/>
      <c r="E36" s="1925"/>
      <c r="F36" s="1926"/>
      <c r="G36" s="133"/>
      <c r="H36" s="133"/>
      <c r="I36" s="133"/>
    </row>
    <row r="37" spans="1:15" ht="15.75" thickBot="1">
      <c r="A37" s="3364"/>
      <c r="B37" s="1810" t="s">
        <v>1759</v>
      </c>
      <c r="C37" s="151"/>
      <c r="D37" s="1253"/>
      <c r="E37" s="1253"/>
      <c r="F37" s="1926"/>
      <c r="G37" s="133"/>
      <c r="H37" s="133"/>
      <c r="I37" s="133"/>
    </row>
    <row r="38" spans="1:15" ht="15.75" thickBot="1">
      <c r="A38" s="3365"/>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40" t="s">
        <v>1771</v>
      </c>
      <c r="B45" s="3341"/>
      <c r="C45" s="3342"/>
      <c r="D45" s="159">
        <f ca="1">ROUND(H101*F45,0)</f>
        <v>325592</v>
      </c>
      <c r="E45" s="160" t="s">
        <v>1772</v>
      </c>
      <c r="F45" s="161">
        <v>1</v>
      </c>
      <c r="G45" s="162" t="s">
        <v>1773</v>
      </c>
      <c r="H45" s="133"/>
      <c r="I45" s="133"/>
      <c r="J45" s="3421" t="s">
        <v>1774</v>
      </c>
      <c r="K45" s="3421"/>
      <c r="L45" s="3421"/>
      <c r="M45" s="3421"/>
      <c r="N45" s="3421"/>
      <c r="O45" s="3421"/>
    </row>
    <row r="46" spans="1:15" ht="14.25" customHeight="1">
      <c r="A46" s="3337" t="s">
        <v>1775</v>
      </c>
      <c r="B46" s="3338"/>
      <c r="C46" s="3338"/>
      <c r="D46" s="3338"/>
      <c r="E46" s="3338"/>
      <c r="F46" s="3338"/>
      <c r="G46" s="3339"/>
      <c r="H46" s="1942"/>
      <c r="I46" s="163"/>
      <c r="J46" s="2698">
        <v>1</v>
      </c>
      <c r="K46" s="3402" t="s">
        <v>1776</v>
      </c>
      <c r="L46" s="3402"/>
      <c r="M46" s="3422"/>
      <c r="N46" s="3422"/>
      <c r="O46" s="3422"/>
    </row>
    <row r="47" spans="1:15" ht="12" customHeight="1">
      <c r="A47" s="164" t="s">
        <v>1777</v>
      </c>
      <c r="B47" s="165"/>
      <c r="C47" s="166"/>
      <c r="D47" s="1199" t="s">
        <v>1778</v>
      </c>
      <c r="E47" s="307" t="s">
        <v>1779</v>
      </c>
      <c r="F47" s="167" t="s">
        <v>1780</v>
      </c>
      <c r="G47" s="2721" t="s">
        <v>1781</v>
      </c>
      <c r="H47" s="2722"/>
      <c r="I47" s="163"/>
      <c r="J47" s="2698">
        <v>2</v>
      </c>
      <c r="K47" s="3402" t="s">
        <v>1782</v>
      </c>
      <c r="L47" s="3402"/>
      <c r="M47" s="3423">
        <f>'数据-取费表'!B2</f>
        <v>44823</v>
      </c>
      <c r="N47" s="3423"/>
      <c r="O47" s="3423"/>
    </row>
    <row r="48" spans="1:15" ht="25.5">
      <c r="A48" s="3368" t="s">
        <v>1783</v>
      </c>
      <c r="B48" s="3351"/>
      <c r="C48" s="3351"/>
      <c r="D48" s="2497">
        <f ca="1">IF(H48="情况1",0,IF(H48="情况2",D52,IF(H48="情况3",D53,IF(H48="情况4",D54))))</f>
        <v>17055</v>
      </c>
      <c r="E48" s="2507" t="str">
        <f>IF(H48="情况4","(销售额-原购置价)×税（费）率","销售额×税（费）率")</f>
        <v>销售额×税（费）率</v>
      </c>
      <c r="F48" s="2723">
        <f>IF(H48="情况1","免征",'数据-取费表'!B41)</f>
        <v>5.5000000000000007E-2</v>
      </c>
      <c r="G48" s="2724" t="s">
        <v>1784</v>
      </c>
      <c r="H48" s="2725" t="s">
        <v>3203</v>
      </c>
      <c r="I48" s="1942"/>
      <c r="J48" s="2698">
        <v>3</v>
      </c>
      <c r="K48" s="3402" t="s">
        <v>1785</v>
      </c>
      <c r="L48" s="3402"/>
      <c r="M48" s="3424">
        <f ca="1">H101</f>
        <v>325592</v>
      </c>
      <c r="N48" s="3424"/>
      <c r="O48" s="3424"/>
    </row>
    <row r="49" spans="1:35" ht="25.5" customHeight="1">
      <c r="A49" s="2506" t="s">
        <v>1786</v>
      </c>
      <c r="B49" s="3335" t="s">
        <v>1787</v>
      </c>
      <c r="C49" s="3335"/>
      <c r="D49" s="1725">
        <v>0</v>
      </c>
      <c r="E49" s="329" t="s">
        <v>1788</v>
      </c>
      <c r="F49" s="2599" t="s">
        <v>34</v>
      </c>
      <c r="G49" s="3408"/>
      <c r="H49" s="2478" t="s">
        <v>2635</v>
      </c>
      <c r="I49" s="2479"/>
      <c r="J49" s="2698">
        <v>4</v>
      </c>
      <c r="K49" s="3402" t="str">
        <f>IF(项目基本情况!E8="房地产抵押价值","房地产抵押价值","抵押担保权已注销时的房地产抵押价值")</f>
        <v>房地产抵押价值</v>
      </c>
      <c r="L49" s="3402"/>
      <c r="M49" s="3424">
        <f ca="1">IF(项目基本情况!E8="房地产抵押价值",H107,H109)</f>
        <v>325592</v>
      </c>
      <c r="N49" s="3424"/>
      <c r="O49" s="3424"/>
    </row>
    <row r="50" spans="1:35" ht="25.5" customHeight="1">
      <c r="A50" s="2726"/>
      <c r="B50" s="3335" t="s">
        <v>1789</v>
      </c>
      <c r="C50" s="3335"/>
      <c r="D50" s="2727"/>
      <c r="E50" s="337"/>
      <c r="F50" s="2599"/>
      <c r="G50" s="3409"/>
      <c r="H50" s="2480" t="s">
        <v>2636</v>
      </c>
      <c r="I50" s="2479"/>
      <c r="J50" s="3421" t="s">
        <v>1790</v>
      </c>
      <c r="K50" s="3421"/>
      <c r="L50" s="3421"/>
      <c r="M50" s="3421"/>
      <c r="N50" s="3421"/>
      <c r="O50" s="3421"/>
    </row>
    <row r="51" spans="1:35" ht="20.45" customHeight="1">
      <c r="A51" s="2728"/>
      <c r="B51" s="3335" t="s">
        <v>1791</v>
      </c>
      <c r="C51" s="3335"/>
      <c r="D51" s="1199"/>
      <c r="E51" s="332"/>
      <c r="F51" s="2599"/>
      <c r="G51" s="3410"/>
      <c r="H51" s="2480" t="s">
        <v>2637</v>
      </c>
      <c r="I51" s="2479"/>
      <c r="J51" s="2699" t="s">
        <v>1792</v>
      </c>
      <c r="K51" s="3402" t="s">
        <v>1793</v>
      </c>
      <c r="L51" s="3402"/>
      <c r="M51" s="2699" t="s">
        <v>1794</v>
      </c>
      <c r="N51" s="2699" t="s">
        <v>1795</v>
      </c>
      <c r="O51" s="2699" t="s">
        <v>1796</v>
      </c>
    </row>
    <row r="52" spans="1:35" ht="24" customHeight="1">
      <c r="A52" s="2508" t="s">
        <v>1797</v>
      </c>
      <c r="B52" s="3335" t="s">
        <v>1798</v>
      </c>
      <c r="C52" s="3335"/>
      <c r="D52" s="1199">
        <f ca="1">ROUND(D45*'数据-取费表'!B41/(1+'数据-取费表'!C42),0)</f>
        <v>17055</v>
      </c>
      <c r="E52" s="2507" t="s">
        <v>1799</v>
      </c>
      <c r="F52" s="2729">
        <f>'数据-取费表'!B41</f>
        <v>5.5000000000000007E-2</v>
      </c>
      <c r="G52" s="2730"/>
      <c r="H52" s="2719"/>
      <c r="I52" s="1943"/>
      <c r="J52" s="2698">
        <v>1</v>
      </c>
      <c r="K52" s="3403" t="s">
        <v>1800</v>
      </c>
      <c r="L52" s="3403"/>
      <c r="M52" s="2700">
        <f ca="1">D48</f>
        <v>17055</v>
      </c>
      <c r="N52" s="2698" t="str">
        <f>E48</f>
        <v>销售额×税（费）率</v>
      </c>
      <c r="O52" s="2701">
        <f>F48</f>
        <v>5.5000000000000007E-2</v>
      </c>
    </row>
    <row r="53" spans="1:35" ht="12" customHeight="1">
      <c r="A53" s="2508" t="s">
        <v>1801</v>
      </c>
      <c r="B53" s="3361" t="s">
        <v>2792</v>
      </c>
      <c r="C53" s="3362"/>
      <c r="D53" s="1199">
        <f ca="1">ROUND(D45*'数据-取费表'!B41/(1+'数据-取费表'!C42),0)</f>
        <v>17055</v>
      </c>
      <c r="E53" s="2507" t="s">
        <v>1799</v>
      </c>
      <c r="F53" s="2729">
        <f>'数据-取费表'!B41</f>
        <v>5.5000000000000007E-2</v>
      </c>
      <c r="G53" s="2730"/>
      <c r="H53" s="2719"/>
      <c r="I53" s="1943"/>
      <c r="J53" s="2698">
        <v>2</v>
      </c>
      <c r="K53" s="3403" t="s">
        <v>1802</v>
      </c>
      <c r="L53" s="3403"/>
      <c r="M53" s="2700">
        <f t="shared" ref="M53:O54" ca="1" si="0">D55</f>
        <v>163</v>
      </c>
      <c r="N53" s="2698" t="str">
        <f t="shared" si="0"/>
        <v>销售额×税（费）率</v>
      </c>
      <c r="O53" s="2701">
        <f t="shared" si="0"/>
        <v>5.0000000000000001E-4</v>
      </c>
    </row>
    <row r="54" spans="1:35" ht="12" customHeight="1">
      <c r="A54" s="2508" t="s">
        <v>1803</v>
      </c>
      <c r="B54" s="3361" t="s">
        <v>2793</v>
      </c>
      <c r="C54" s="3362"/>
      <c r="D54" s="1199">
        <f ca="1">C68</f>
        <v>17055</v>
      </c>
      <c r="E54" s="332" t="s">
        <v>1804</v>
      </c>
      <c r="F54" s="2729">
        <f>'数据-取费表'!B41</f>
        <v>5.5000000000000007E-2</v>
      </c>
      <c r="G54" s="2730"/>
      <c r="H54" s="2731"/>
      <c r="I54" s="1943"/>
      <c r="J54" s="2698">
        <v>3</v>
      </c>
      <c r="K54" s="3403" t="s">
        <v>1805</v>
      </c>
      <c r="L54" s="3403"/>
      <c r="M54" s="2700">
        <f t="shared" ca="1" si="0"/>
        <v>6227</v>
      </c>
      <c r="N54" s="2698" t="str">
        <f t="shared" si="0"/>
        <v>增值额×税（费）率</v>
      </c>
      <c r="O54" s="2702" t="str">
        <f t="shared" si="0"/>
        <v>——</v>
      </c>
    </row>
    <row r="55" spans="1:35" ht="24" customHeight="1">
      <c r="A55" s="3350" t="s">
        <v>1806</v>
      </c>
      <c r="B55" s="3351"/>
      <c r="C55" s="3351"/>
      <c r="D55" s="2497">
        <f ca="1">IF(H55="个人住宅",0,ROUND(D45*I55,0))</f>
        <v>163</v>
      </c>
      <c r="E55" s="2507" t="s">
        <v>1807</v>
      </c>
      <c r="F55" s="2729">
        <f>IF(H55="正常",I55,"免征")</f>
        <v>5.0000000000000001E-4</v>
      </c>
      <c r="G55" s="2730"/>
      <c r="H55" s="2725" t="s">
        <v>3204</v>
      </c>
      <c r="I55" s="169">
        <f>'数据-取费表'!B49</f>
        <v>5.0000000000000001E-4</v>
      </c>
      <c r="J55" s="2698" t="str">
        <f>IF(H59="非个人房产","",4)</f>
        <v/>
      </c>
      <c r="K55" s="3403" t="str">
        <f>IF(H59="非个人房产","——","个人所得税")</f>
        <v>——</v>
      </c>
      <c r="L55" s="3403"/>
      <c r="M55" s="2703" t="str">
        <f>D59</f>
        <v>——</v>
      </c>
      <c r="N55" s="2178" t="str">
        <f>E59</f>
        <v>——</v>
      </c>
      <c r="O55" s="2704" t="str">
        <f>F59</f>
        <v>——</v>
      </c>
    </row>
    <row r="56" spans="1:35" ht="24.75">
      <c r="A56" s="3350" t="s">
        <v>1808</v>
      </c>
      <c r="B56" s="3351"/>
      <c r="C56" s="3351"/>
      <c r="D56" s="2497">
        <f ca="1">IF(H56="个人住宅",D57,D58)</f>
        <v>6227</v>
      </c>
      <c r="E56" s="2507" t="s">
        <v>1809</v>
      </c>
      <c r="F56" s="2729" t="str">
        <f>IF(H56="正常",F58,"免征")</f>
        <v>——</v>
      </c>
      <c r="G56" s="2732" t="s">
        <v>1810</v>
      </c>
      <c r="H56" s="2733" t="s">
        <v>3204</v>
      </c>
      <c r="I56" s="1944"/>
      <c r="J56" s="2698" t="str">
        <f>IF(项目基本情况!K6="上海银行",IF(J55="",4,J55+1),"")</f>
        <v/>
      </c>
      <c r="K56" s="3426" t="str">
        <f>IF(项目基本情况!K6="上海银行","其他处置费用","")</f>
        <v/>
      </c>
      <c r="L56" s="3427"/>
      <c r="M56" s="2700" t="str">
        <f>IF(项目基本情况!K6="上海银行",M69,"")</f>
        <v/>
      </c>
      <c r="N56" s="3426" t="str">
        <f>IF(项目基本情况!K6="上海银行","包含处置中涉及的律师、诉讼、拍卖、评估等费用","")</f>
        <v/>
      </c>
      <c r="O56" s="3429"/>
    </row>
    <row r="57" spans="1:35" ht="12.75">
      <c r="A57" s="2508" t="s">
        <v>1786</v>
      </c>
      <c r="B57" s="3361" t="s">
        <v>1811</v>
      </c>
      <c r="C57" s="3362"/>
      <c r="D57" s="1725">
        <v>0</v>
      </c>
      <c r="E57" s="329" t="s">
        <v>1788</v>
      </c>
      <c r="F57" s="307"/>
      <c r="G57" s="2730"/>
      <c r="H57" s="2734"/>
      <c r="I57" s="1944"/>
      <c r="J57" s="3403">
        <f>IF(AND(J55="",J56=""),4,IF(项目基本情况!K6="上海银行",结果表!J56+1,结果表!J55+1))</f>
        <v>4</v>
      </c>
      <c r="K57" s="3403" t="s">
        <v>1812</v>
      </c>
      <c r="L57" s="2705" t="s">
        <v>1813</v>
      </c>
      <c r="M57" s="2706"/>
      <c r="N57" s="2707">
        <f ca="1">SUMIF(M52:M56,"&lt;9e307")</f>
        <v>23445</v>
      </c>
      <c r="O57" s="2708"/>
      <c r="P57" s="2868">
        <f ca="1">N57/M49</f>
        <v>7.2007297476596482E-2</v>
      </c>
    </row>
    <row r="58" spans="1:35" ht="24.75">
      <c r="A58" s="2508" t="s">
        <v>1797</v>
      </c>
      <c r="B58" s="3361" t="s">
        <v>1814</v>
      </c>
      <c r="C58" s="3335"/>
      <c r="D58" s="2497">
        <f ca="1">IF(H58="转让取得",C81,C97)</f>
        <v>6227</v>
      </c>
      <c r="E58" s="2507" t="s">
        <v>1809</v>
      </c>
      <c r="F58" s="307" t="s">
        <v>34</v>
      </c>
      <c r="G58" s="2730"/>
      <c r="H58" s="2733" t="s">
        <v>3205</v>
      </c>
      <c r="I58" s="1944"/>
      <c r="J58" s="3403"/>
      <c r="K58" s="3403"/>
      <c r="L58" s="2705" t="s">
        <v>1815</v>
      </c>
      <c r="M58" s="2709"/>
      <c r="N58" s="2710" t="str">
        <f ca="1">NUMBERSTRING(INT(N57*10000),2)&amp;"元整"</f>
        <v>贰亿叁仟肆佰肆拾伍万元整</v>
      </c>
      <c r="O58" s="2711"/>
    </row>
    <row r="59" spans="1:35" ht="24.75" thickBot="1">
      <c r="A59" s="3406" t="s">
        <v>1816</v>
      </c>
      <c r="B59" s="3407"/>
      <c r="C59" s="3407"/>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2" t="s">
        <v>3206</v>
      </c>
      <c r="I59" s="2481" t="s">
        <v>2638</v>
      </c>
      <c r="J59" s="3404">
        <f>J57+1</f>
        <v>5</v>
      </c>
      <c r="K59" s="3403" t="s">
        <v>1817</v>
      </c>
      <c r="L59" s="2698" t="s">
        <v>1813</v>
      </c>
      <c r="M59" s="2712"/>
      <c r="N59" s="2713">
        <f ca="1">M49-N57</f>
        <v>302147</v>
      </c>
      <c r="O59" s="2714"/>
    </row>
    <row r="60" spans="1:35" ht="12" customHeight="1">
      <c r="A60" s="1945"/>
      <c r="B60" s="1883"/>
      <c r="C60" s="1883"/>
      <c r="D60" s="1883"/>
      <c r="E60" s="1713"/>
      <c r="F60" s="1944"/>
      <c r="G60" s="1944"/>
      <c r="H60" s="1946"/>
      <c r="I60" s="133"/>
      <c r="J60" s="3405"/>
      <c r="K60" s="3403"/>
      <c r="L60" s="2705" t="s">
        <v>1815</v>
      </c>
      <c r="M60" s="2709"/>
      <c r="N60" s="2710" t="str">
        <f ca="1">NUMBERSTRING(INT(N59*10000),2)&amp;"元整"</f>
        <v>叁拾亿贰仟壹佰肆拾柒万元整</v>
      </c>
      <c r="O60" s="2711"/>
    </row>
    <row r="61" spans="1:35" ht="13.5" thickBot="1">
      <c r="A61" s="3348" t="s">
        <v>1818</v>
      </c>
      <c r="B61" s="3348"/>
      <c r="C61" s="3348"/>
      <c r="D61" s="3348"/>
      <c r="E61" s="3348"/>
      <c r="F61" s="1944"/>
      <c r="G61" s="1944"/>
      <c r="H61" s="1946"/>
      <c r="I61" s="133"/>
      <c r="J61" s="2698">
        <f>J59+1</f>
        <v>6</v>
      </c>
      <c r="K61" s="3403" t="s">
        <v>1819</v>
      </c>
      <c r="L61" s="3403"/>
      <c r="M61" s="2715"/>
      <c r="N61" s="2716">
        <f ca="1">ROUND(N59*10000/'数据-汇总表'!E3,0)</f>
        <v>14323</v>
      </c>
      <c r="O61" s="2717"/>
    </row>
    <row r="62" spans="1:35" ht="12.75">
      <c r="A62" s="3366" t="s">
        <v>1820</v>
      </c>
      <c r="B62" s="3367"/>
      <c r="C62" s="2159"/>
      <c r="D62" s="2159" t="s">
        <v>1821</v>
      </c>
      <c r="E62" s="170" t="s">
        <v>1822</v>
      </c>
      <c r="F62" s="1944"/>
      <c r="G62" s="1944"/>
      <c r="H62" s="1946"/>
      <c r="I62" s="133"/>
    </row>
    <row r="63" spans="1:35" ht="12.75">
      <c r="A63" s="177" t="s">
        <v>594</v>
      </c>
      <c r="B63" s="171" t="s">
        <v>1823</v>
      </c>
      <c r="C63" s="2739">
        <f ca="1">ROUND((C64+C65)/(1+'数据-取费表'!C42),0)</f>
        <v>310088</v>
      </c>
      <c r="D63" s="171"/>
      <c r="E63" s="172"/>
      <c r="F63" s="1944"/>
      <c r="G63" s="1944"/>
      <c r="H63" s="1946"/>
      <c r="I63" s="133"/>
      <c r="J63" s="3428" t="s">
        <v>1824</v>
      </c>
      <c r="K63" s="1452" t="s">
        <v>1825</v>
      </c>
      <c r="L63" s="1452">
        <f ca="1">IF(M49&gt;10000,M49*0.5%,IF(AND(M49&gt;1000,M49&lt;=10000),M49*1%,IF(AND(M49&gt;100,M49&lt;=1000),M49*3%,IF(AND(M49&gt;10,M49&lt;=100),M49*5%,M49*8%))))</f>
        <v>1627.96</v>
      </c>
      <c r="M63" s="307">
        <f ca="1">ROUND(L63,1)</f>
        <v>1628</v>
      </c>
      <c r="N63" s="2718"/>
      <c r="Z63" s="1888"/>
      <c r="AI63" s="1889"/>
    </row>
    <row r="64" spans="1:35" ht="14.25" customHeight="1">
      <c r="A64" s="173" t="s">
        <v>589</v>
      </c>
      <c r="B64" s="174" t="s">
        <v>1826</v>
      </c>
      <c r="C64" s="2740">
        <f ca="1">D45</f>
        <v>325592</v>
      </c>
      <c r="D64" s="174" t="s">
        <v>32</v>
      </c>
      <c r="E64" s="176"/>
      <c r="F64" s="1944"/>
      <c r="G64" s="1944"/>
      <c r="H64" s="1946"/>
      <c r="I64" s="133"/>
      <c r="J64" s="3428"/>
      <c r="K64" s="1452" t="s">
        <v>1827</v>
      </c>
      <c r="L64" s="1452">
        <f ca="1">IF(M49&gt;2000,M49*0.5%,IF(AND(M49&gt;1000,M49&lt;=2000),M49*0.6%,IF(AND(M49&gt;500,M49&lt;=1000),M49*0.7%,IF(AND(M49&gt;200,M49&lt;=500),M49*0.8%,IF(AND(M49&gt;100,M49&lt;=200),M49*0.9%,IF(AND(M49&gt;50,M49&lt;=100),M49*1%,IF(AND(M49&gt;20,M49&lt;=50),M49*1.5%,IF(AND(M49&gt;10,M49&lt;=20),M49*2%,IF(AND(M49&gt;1,M49&lt;=10),M49*2.5%)))))))))</f>
        <v>1627.96</v>
      </c>
      <c r="M64" s="307">
        <f t="shared" ref="M64:M65" ca="1" si="1">ROUND(L64,1)</f>
        <v>1628</v>
      </c>
      <c r="N64" s="2719" t="s">
        <v>1828</v>
      </c>
      <c r="Z64" s="1888"/>
      <c r="AI64" s="1889"/>
    </row>
    <row r="65" spans="1:35" ht="14.25" customHeight="1">
      <c r="A65" s="173" t="s">
        <v>590</v>
      </c>
      <c r="B65" s="174" t="s">
        <v>1829</v>
      </c>
      <c r="C65" s="2741"/>
      <c r="D65" s="174"/>
      <c r="E65" s="176"/>
      <c r="F65" s="1944"/>
      <c r="G65" s="1944"/>
      <c r="H65" s="1946"/>
      <c r="I65" s="133"/>
      <c r="J65" s="3428"/>
      <c r="K65" s="1452" t="s">
        <v>1830</v>
      </c>
      <c r="L65" s="1452">
        <f ca="1">IF(M49&gt;1000,M49*0.1%,IF(AND(M49&gt;500,M49&lt;=1000),M49*0.5%,IF(AND(M49&gt;50,M49&lt;=500),M49*1%,IF(AND(M49&gt;1,M49&lt;=50),M49*1.5%))))</f>
        <v>325.59199999999998</v>
      </c>
      <c r="M65" s="307">
        <f t="shared" ca="1" si="1"/>
        <v>325.60000000000002</v>
      </c>
      <c r="N65" s="2719" t="s">
        <v>1828</v>
      </c>
      <c r="Z65" s="1888"/>
      <c r="AI65" s="1889"/>
    </row>
    <row r="66" spans="1:35" ht="14.25" customHeight="1">
      <c r="A66" s="177" t="s">
        <v>591</v>
      </c>
      <c r="B66" s="178" t="s">
        <v>1831</v>
      </c>
      <c r="C66" s="2742"/>
      <c r="D66" s="178" t="s">
        <v>32</v>
      </c>
      <c r="E66" s="1459" t="s">
        <v>1096</v>
      </c>
      <c r="F66" s="1944"/>
      <c r="G66" s="1944"/>
      <c r="H66" s="1946"/>
      <c r="I66" s="133"/>
      <c r="J66" s="3428"/>
      <c r="K66" s="1452" t="s">
        <v>1832</v>
      </c>
      <c r="L66" s="1452">
        <f ca="1">M49*0.5%</f>
        <v>1627.96</v>
      </c>
      <c r="M66" s="307">
        <f ca="1">IF(L66&gt;0.5,0.5,ROUND(L66,0))</f>
        <v>0.5</v>
      </c>
      <c r="N66" s="2719" t="s">
        <v>1833</v>
      </c>
      <c r="Z66" s="1888"/>
      <c r="AI66" s="1889"/>
    </row>
    <row r="67" spans="1:35" ht="14.25" customHeight="1">
      <c r="A67" s="177" t="s">
        <v>592</v>
      </c>
      <c r="B67" s="178" t="s">
        <v>1834</v>
      </c>
      <c r="C67" s="2743">
        <f ca="1">C63-C66</f>
        <v>310088</v>
      </c>
      <c r="D67" s="174" t="s">
        <v>32</v>
      </c>
      <c r="E67" s="176"/>
      <c r="F67" s="1944"/>
      <c r="G67" s="1944"/>
      <c r="H67" s="1946"/>
      <c r="I67" s="133"/>
      <c r="J67" s="3428"/>
      <c r="K67" s="1452" t="s">
        <v>1835</v>
      </c>
      <c r="L67" s="1452">
        <f ca="1">IF(M49&gt;=10000,(8.25+(M49-10000)*0.01%),IF(AND(M49&gt;=8000,M49&lt;10000),(7.85+(M49-8000)*0.02%),IF(AND(M49&gt;=5000,M49&lt;8000),(6.65+(M49-5000)*0.04%),IF(AND(M49&gt;=2000,M49&lt;5000),(4.25+(PM49-2000)*0.08%),IF(AND(M49&gt;=1000,M49&lt;2000),(2.75+(M49-1000)*0.15%),IF(AND(M49&gt;=100,M49&lt;1000),(0.5+(M49-100)*0.25%),IF(AND(M49&gt;0,M49&lt;100),M49*0.5%)))))))</f>
        <v>39.809200000000004</v>
      </c>
      <c r="M67" s="307">
        <f ca="1">ROUND(L67*0.9,1)</f>
        <v>35.799999999999997</v>
      </c>
      <c r="N67" s="2718"/>
      <c r="Z67" s="1888"/>
      <c r="AI67" s="1889"/>
    </row>
    <row r="68" spans="1:35" ht="14.25" customHeight="1" thickBot="1">
      <c r="A68" s="180" t="s">
        <v>593</v>
      </c>
      <c r="B68" s="181" t="s">
        <v>1836</v>
      </c>
      <c r="C68" s="2744">
        <f ca="1">IF(C67&lt;=0,0,ROUND(C67*D68,0))</f>
        <v>17055</v>
      </c>
      <c r="D68" s="2745">
        <f>'数据-取费表'!B41</f>
        <v>5.5000000000000007E-2</v>
      </c>
      <c r="E68" s="183"/>
      <c r="F68" s="1944"/>
      <c r="G68" s="1944"/>
      <c r="H68" s="1946"/>
      <c r="I68" s="133"/>
      <c r="J68" s="3428"/>
      <c r="K68" s="1452" t="s">
        <v>1837</v>
      </c>
      <c r="L68" s="1452">
        <f ca="1">IF(M49&gt;10000,M49*0.5%,IF(AND(M49&gt;5000,M49&lt;=10000),M49*1%,IF(AND(M49&gt;1000,M49&lt;=5000),M49*2%,IF(AND(M49&gt;200,M49&lt;=1000),M49*3%,M49*5%))))</f>
        <v>1627.96</v>
      </c>
      <c r="M68" s="307">
        <f ca="1">ROUND(L68,1)</f>
        <v>1628</v>
      </c>
      <c r="N68" s="2718"/>
      <c r="Z68" s="1888"/>
      <c r="AI68" s="1889"/>
    </row>
    <row r="69" spans="1:35" s="1908" customFormat="1" ht="16.5" customHeight="1">
      <c r="A69" s="1947"/>
      <c r="B69" s="1948"/>
      <c r="C69" s="1949"/>
      <c r="D69" s="1950"/>
      <c r="E69" s="1951"/>
      <c r="F69" s="1713"/>
      <c r="G69" s="1713"/>
      <c r="H69" s="1712"/>
      <c r="I69" s="1883"/>
      <c r="J69" s="3428"/>
      <c r="K69" s="1452" t="s">
        <v>1838</v>
      </c>
      <c r="L69" s="1452"/>
      <c r="M69" s="307">
        <f ca="1">ROUND(SUM(M63:M68),0)</f>
        <v>5246</v>
      </c>
      <c r="N69" s="2720">
        <f ca="1">M69/M49</f>
        <v>1.6112189488685227E-2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87" t="s">
        <v>1839</v>
      </c>
      <c r="B70" s="3388"/>
      <c r="C70" s="3388"/>
      <c r="D70" s="3388"/>
      <c r="E70" s="3388"/>
      <c r="F70" s="3388"/>
      <c r="G70" s="3388"/>
      <c r="H70" s="3388"/>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66" t="s">
        <v>1820</v>
      </c>
      <c r="B71" s="3367"/>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f ca="1">ROUND(D45/(1+'数据-取费表'!C42),0)</f>
        <v>310088</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f ca="1">C74+C78</f>
        <v>1550</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361" t="s">
        <v>1847</v>
      </c>
      <c r="F76" s="3335"/>
      <c r="G76" s="3335"/>
      <c r="H76" s="338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1550</v>
      </c>
      <c r="D78" s="2752">
        <f>'数据-取费表'!B43</f>
        <v>5.000000000000001E-3</v>
      </c>
      <c r="E78" s="3345" t="s">
        <v>1851</v>
      </c>
      <c r="F78" s="3346"/>
      <c r="G78" s="3346"/>
      <c r="H78" s="335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f ca="1">C72-C73</f>
        <v>308538</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199.05677419354839</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f ca="1">ROUND(IF(C79&lt;=0,0,IF(C80&gt;=200%,C79*60%-C73*35%,IF(C80&gt;=100%,C79*50%-C73*15%,IF(C80&gt;=50%,C79*40%-C73*5%,IF(C80&lt;50%,C79*30%,0))))),0)</f>
        <v>184580</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7" t="s">
        <v>1855</v>
      </c>
      <c r="B83" s="3388"/>
      <c r="C83" s="3388"/>
      <c r="D83" s="3388"/>
      <c r="E83" s="3388"/>
      <c r="F83" s="3388"/>
      <c r="G83" s="3388"/>
      <c r="H83" s="338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66" t="s">
        <v>1820</v>
      </c>
      <c r="B84" s="3367"/>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f ca="1">ROUND(D45/(1+'数据-取费表'!C42),0)</f>
        <v>310088</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f ca="1">IF(H88="仅含出让金",C87+C90+C91+C92+C93+C94,C87+C91+C92+C93+C94)</f>
        <v>289330.99609999999</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137809.8665</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f>1337308665/10000</f>
        <v>133730.8665</v>
      </c>
      <c r="D88" s="2752"/>
      <c r="E88" s="198" t="s">
        <v>1858</v>
      </c>
      <c r="F88" s="2500"/>
      <c r="G88" s="199" t="s">
        <v>1859</v>
      </c>
      <c r="H88" s="1960" t="s">
        <v>3208</v>
      </c>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4079</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v>0</v>
      </c>
      <c r="D90" s="2752"/>
      <c r="E90" s="198" t="str">
        <f>IF(H88="-","土地取得成本中已包含该笔费用"," ")</f>
        <v xml:space="preserve"> </v>
      </c>
      <c r="F90" s="2500"/>
      <c r="G90" s="3430" t="s">
        <v>2630</v>
      </c>
      <c r="H90" s="3431"/>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83560.1296</v>
      </c>
      <c r="D91" s="2752"/>
      <c r="E91" s="3345" t="s">
        <v>1864</v>
      </c>
      <c r="F91" s="3346"/>
      <c r="G91" s="3346"/>
      <c r="H91" s="1961" t="s">
        <v>3207</v>
      </c>
      <c r="I91" s="1962">
        <f>(110787805+652545144+72268347)/10000</f>
        <v>83560.1296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22137</v>
      </c>
      <c r="D92" s="2758">
        <v>0.1</v>
      </c>
      <c r="E92" s="3345" t="s">
        <v>1867</v>
      </c>
      <c r="F92" s="3346"/>
      <c r="G92" s="3346"/>
      <c r="H92" s="3355"/>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1550</v>
      </c>
      <c r="D93" s="2752">
        <f>'数据-取费表'!B43</f>
        <v>5.000000000000001E-3</v>
      </c>
      <c r="E93" s="3345" t="s">
        <v>1851</v>
      </c>
      <c r="F93" s="3346"/>
      <c r="G93" s="3346"/>
      <c r="H93" s="335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44274</v>
      </c>
      <c r="D94" s="2752">
        <v>0.2</v>
      </c>
      <c r="E94" s="3356" t="s">
        <v>1871</v>
      </c>
      <c r="F94" s="3357"/>
      <c r="G94" s="3357"/>
      <c r="H94" s="3358"/>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f ca="1">ROUND(C85-C86,0)</f>
        <v>20757</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7.1741362936537448E-2</v>
      </c>
      <c r="D96" s="174" t="s">
        <v>32</v>
      </c>
      <c r="E96" s="2497" t="str">
        <f ca="1">IF(C96&gt;=200%,"增值额超过扣除项目金额200%",IF(C96&gt;=100%,"增值额超过扣除项目金额100%，未超过200%",IF(C96&gt;=50%,"增值额超过扣除项目金额50%，未超过100%",IF(C96&lt;50%,"增值额未超过扣除项目金额50%"))))</f>
        <v>增值额未超过扣除项目金额50%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f ca="1">ROUND(IF(C95&lt;=0,0,IF(C96&gt;=200%,C95*60%-C86*35%,IF(C96&gt;=100%,C95*50%-C86*15%,IF(C96&gt;=50%,C95*40%-C86*5%,IF(C96&lt;50%,C95*30%,0))))),0)</f>
        <v>6227</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329" t="s">
        <v>1873</v>
      </c>
      <c r="B100" s="3330"/>
      <c r="C100" s="3330"/>
      <c r="D100" s="3347"/>
      <c r="E100" s="3330" t="s">
        <v>1874</v>
      </c>
      <c r="F100" s="3330"/>
      <c r="G100" s="3330"/>
      <c r="H100" s="3347"/>
      <c r="I100" s="133"/>
    </row>
    <row r="101" spans="1:35" ht="18.75" customHeight="1">
      <c r="A101" s="3411" t="s">
        <v>1875</v>
      </c>
      <c r="B101" s="3412"/>
      <c r="C101" s="2760" t="str">
        <f>C4</f>
        <v>收益法</v>
      </c>
      <c r="D101" s="2761" t="str">
        <f>D4</f>
        <v>成本法</v>
      </c>
      <c r="E101" s="3425" t="s">
        <v>1876</v>
      </c>
      <c r="F101" s="3379"/>
      <c r="G101" s="1963" t="s">
        <v>1877</v>
      </c>
      <c r="H101" s="2770">
        <f ca="1">H118</f>
        <v>325592</v>
      </c>
      <c r="I101" s="133"/>
    </row>
    <row r="102" spans="1:35" ht="18.75" customHeight="1">
      <c r="A102" s="3381" t="s">
        <v>1878</v>
      </c>
      <c r="B102" s="2759" t="s">
        <v>1877</v>
      </c>
      <c r="C102" s="2760">
        <f ca="1">C19</f>
        <v>314553</v>
      </c>
      <c r="D102" s="2761">
        <f ca="1">D19</f>
        <v>336631</v>
      </c>
      <c r="E102" s="3425"/>
      <c r="F102" s="3379"/>
      <c r="G102" s="1963" t="s">
        <v>1879</v>
      </c>
      <c r="H102" s="2730">
        <f ca="1">I118</f>
        <v>15434</v>
      </c>
      <c r="I102" s="133"/>
    </row>
    <row r="103" spans="1:35" ht="42.75" customHeight="1">
      <c r="A103" s="3381"/>
      <c r="B103" s="2759" t="s">
        <v>1879</v>
      </c>
      <c r="C103" s="2762">
        <f ca="1">C20</f>
        <v>16269</v>
      </c>
      <c r="D103" s="2763">
        <f ca="1">D20</f>
        <v>15957</v>
      </c>
      <c r="E103" s="3419" t="s">
        <v>1880</v>
      </c>
      <c r="F103" s="3420"/>
      <c r="G103" s="1964" t="s">
        <v>1881</v>
      </c>
      <c r="H103" s="2770">
        <f>IF(D36="正常操作",H104+H105+H106,H105+H106)</f>
        <v>0</v>
      </c>
      <c r="I103" s="133"/>
    </row>
    <row r="104" spans="1:35" ht="18.75" customHeight="1">
      <c r="A104" s="3381" t="s">
        <v>1882</v>
      </c>
      <c r="B104" s="2764" t="s">
        <v>1877</v>
      </c>
      <c r="C104" s="2765">
        <f ca="1">H118</f>
        <v>325592</v>
      </c>
      <c r="D104" s="2766"/>
      <c r="E104" s="1810" t="s">
        <v>1883</v>
      </c>
      <c r="F104" s="1801"/>
      <c r="G104" s="1964" t="s">
        <v>1881</v>
      </c>
      <c r="H104" s="2771">
        <f>IF(D36="同一抵押权人同一抵押物续贷",C36&amp;"（续贷，未扣减，详见特别提示）",C36)</f>
        <v>0</v>
      </c>
      <c r="I104" s="133"/>
    </row>
    <row r="105" spans="1:35" ht="18.75" customHeight="1" thickBot="1">
      <c r="A105" s="3382"/>
      <c r="B105" s="2767" t="s">
        <v>1879</v>
      </c>
      <c r="C105" s="2768">
        <f ca="1">I118</f>
        <v>15434</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378" t="str">
        <f>IF(项目基本情况!E8="已注销","——","3.房地产抵押价值")</f>
        <v>3.房地产抵押价值</v>
      </c>
      <c r="F107" s="3379"/>
      <c r="G107" s="1963" t="s">
        <v>1877</v>
      </c>
      <c r="H107" s="2770">
        <f ca="1">IF(E107="——","——",H101-H103)</f>
        <v>325592</v>
      </c>
      <c r="I107" s="133"/>
    </row>
    <row r="108" spans="1:35" ht="18.75" customHeight="1">
      <c r="A108" s="133"/>
      <c r="B108" s="133"/>
      <c r="C108" s="133"/>
      <c r="D108" s="133"/>
      <c r="E108" s="3378"/>
      <c r="F108" s="3379"/>
      <c r="G108" s="1963" t="s">
        <v>1879</v>
      </c>
      <c r="H108" s="2730">
        <f ca="1">ROUND(H107*10000/'数据-汇总表'!E3,0)</f>
        <v>15434</v>
      </c>
      <c r="I108" s="133"/>
    </row>
    <row r="109" spans="1:35" ht="18.75" customHeight="1">
      <c r="A109" s="133"/>
      <c r="B109" s="133"/>
      <c r="C109" s="133"/>
      <c r="D109" s="133"/>
      <c r="E109" s="3378" t="str">
        <f>IF(项目基本情况!E8="已注销及未注销","4.抵押担保权已注销时的房地产抵押价值",IF(项目基本情况!E8="已注销","3.抵押担保权已注销时的房地产抵押价值","——"))</f>
        <v>——</v>
      </c>
      <c r="F109" s="3379"/>
      <c r="G109" s="1963" t="s">
        <v>1877</v>
      </c>
      <c r="H109" s="2773" t="str">
        <f>IF(E109="——","——",H101-H105-H106)</f>
        <v>——</v>
      </c>
      <c r="I109" s="133"/>
    </row>
    <row r="110" spans="1:35" ht="18.75" customHeight="1">
      <c r="A110" s="133"/>
      <c r="B110" s="133"/>
      <c r="C110" s="133"/>
      <c r="D110" s="133"/>
      <c r="E110" s="3378"/>
      <c r="F110" s="3379"/>
      <c r="G110" s="1963" t="s">
        <v>1879</v>
      </c>
      <c r="H110" s="2730" t="str">
        <f>IF(H109="——","——",ROUND(H109*10000/'数据-汇总表'!E3,0))</f>
        <v>——</v>
      </c>
      <c r="I110" s="133"/>
    </row>
    <row r="111" spans="1:35" ht="18.75" customHeight="1">
      <c r="A111" s="133"/>
      <c r="B111" s="133"/>
      <c r="C111" s="133"/>
      <c r="D111" s="133"/>
      <c r="E111" s="3413" t="str">
        <f>IF(项目基本情况!E9="抵押净值",IF(OR(项目基本情况!E8="已注销",项目基本情况!E8="房地产抵押价值"),"4.抵押净值","5.抵押净值"),"——")</f>
        <v>4.抵押净值</v>
      </c>
      <c r="F111" s="3380"/>
      <c r="G111" s="1963" t="s">
        <v>1877</v>
      </c>
      <c r="H111" s="2770">
        <f ca="1">IF(E111="——","——",N59)</f>
        <v>302147</v>
      </c>
      <c r="I111" s="133"/>
    </row>
    <row r="112" spans="1:35" ht="18.75" customHeight="1" thickBot="1">
      <c r="A112" s="133"/>
      <c r="B112" s="133"/>
      <c r="C112" s="133"/>
      <c r="D112" s="133"/>
      <c r="E112" s="3414"/>
      <c r="F112" s="3415"/>
      <c r="G112" s="1966" t="s">
        <v>1879</v>
      </c>
      <c r="H112" s="2774">
        <f ca="1">IF(E111="——","——",N61)</f>
        <v>14323</v>
      </c>
      <c r="I112" s="133"/>
    </row>
    <row r="113" spans="1:27" ht="18.75" customHeight="1">
      <c r="A113" s="133"/>
      <c r="B113" s="133"/>
      <c r="C113" s="133"/>
      <c r="D113" s="133"/>
      <c r="E113" s="3383" t="s">
        <v>1885</v>
      </c>
      <c r="F113" s="3383"/>
      <c r="G113" s="3383"/>
      <c r="H113" s="3383"/>
      <c r="I113" s="133"/>
    </row>
    <row r="114" spans="1:27" ht="3.75" customHeight="1">
      <c r="A114" s="1883"/>
      <c r="B114" s="1883"/>
      <c r="C114" s="1883"/>
      <c r="D114" s="1883"/>
      <c r="E114" s="1945"/>
      <c r="F114" s="1945"/>
      <c r="G114" s="1945"/>
      <c r="H114" s="1945"/>
      <c r="I114" s="1883"/>
    </row>
    <row r="115" spans="1:27" ht="18.75" customHeight="1">
      <c r="A115" s="3396" t="s">
        <v>1887</v>
      </c>
      <c r="B115" s="3397"/>
      <c r="C115" s="3397"/>
      <c r="D115" s="3397"/>
      <c r="E115" s="3397"/>
      <c r="F115" s="3397"/>
      <c r="G115" s="3397"/>
      <c r="H115" s="3397"/>
      <c r="I115" s="3398"/>
    </row>
    <row r="116" spans="1:27" ht="27" customHeight="1">
      <c r="A116" s="3349" t="s">
        <v>1888</v>
      </c>
      <c r="B116" s="3384" t="s">
        <v>1889</v>
      </c>
      <c r="C116" s="3384" t="s">
        <v>1890</v>
      </c>
      <c r="D116" s="3400" t="s">
        <v>1891</v>
      </c>
      <c r="E116" s="3401"/>
      <c r="F116" s="3392" t="s">
        <v>1892</v>
      </c>
      <c r="G116" s="3392"/>
      <c r="H116" s="3349" t="s">
        <v>1893</v>
      </c>
      <c r="I116" s="3349"/>
    </row>
    <row r="117" spans="1:27" ht="18.75" customHeight="1">
      <c r="A117" s="3349"/>
      <c r="B117" s="3385"/>
      <c r="C117" s="3385"/>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210956.06</v>
      </c>
      <c r="C118" s="2502">
        <f>M19</f>
        <v>55191.78</v>
      </c>
      <c r="D118" s="2502">
        <f ca="1">ROUND(IF(D32="总价",C34,E118*B118/10000),0)</f>
        <v>181029</v>
      </c>
      <c r="E118" s="2502">
        <f ca="1">ROUND(IF(C33="自定义",IF(D32="楼面单价",C34,D118*10000/B118),I118-G118),0)</f>
        <v>8581</v>
      </c>
      <c r="F118" s="2502">
        <f ca="1">ROUND(IF(D32="总价",C35,G118*B118/10000),0)</f>
        <v>144563</v>
      </c>
      <c r="G118" s="2502">
        <f ca="1">ROUND(IF(D32="楼面单价",C35,F118*10000/B118),0)</f>
        <v>6853</v>
      </c>
      <c r="H118" s="2502">
        <f ca="1">ROUND(IF(D32="总价",C32,I118*B118/10000),0)</f>
        <v>325592</v>
      </c>
      <c r="I118" s="2502">
        <f ca="1">ROUND(IF(D32="楼面单价",C32,H118*10000/B118),0)</f>
        <v>15434</v>
      </c>
    </row>
    <row r="119" spans="1:27" ht="18.75" customHeight="1">
      <c r="A119" s="3349" t="s">
        <v>1897</v>
      </c>
      <c r="B119" s="3349"/>
      <c r="C119" s="3349"/>
      <c r="D119" s="3389" t="str">
        <f ca="1">NUMBERSTRING(INT(D118*10000),2)&amp;"元整"</f>
        <v>壹拾捌亿壹仟零贰拾玖万元整</v>
      </c>
      <c r="E119" s="3391"/>
      <c r="F119" s="3389" t="str">
        <f ca="1">NUMBERSTRING(INT(F118*10000),2)&amp;"元整"</f>
        <v>壹拾肆亿肆仟伍佰陆拾叁万元整</v>
      </c>
      <c r="G119" s="3391"/>
      <c r="H119" s="3389" t="str">
        <f ca="1">NUMBERSTRING(INT(H118*10000),2)&amp;"元整"</f>
        <v>叁拾贰亿伍仟伍佰玖拾贰万元整</v>
      </c>
      <c r="I119" s="3391"/>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3" t="s">
        <v>1897</v>
      </c>
      <c r="B121" s="3394"/>
      <c r="C121" s="3395"/>
      <c r="D121" s="3389" t="str">
        <f>IF(D120=0,"零元整",NUMBERSTRING(INT(D120*10000),2)&amp;"元整")</f>
        <v>零元整</v>
      </c>
      <c r="E121" s="3390"/>
      <c r="F121" s="3390"/>
      <c r="G121" s="3390"/>
      <c r="H121" s="3390"/>
      <c r="I121" s="3391"/>
      <c r="AA121" s="733"/>
    </row>
    <row r="122" spans="1:27" ht="18.75" customHeight="1">
      <c r="A122" s="3380" t="str">
        <f>IF(项目基本情况!B9="房地产市场价值","",MID(E107,3,LEN(E107)-2))</f>
        <v>房地产抵押价值</v>
      </c>
      <c r="B122" s="3380"/>
      <c r="C122" s="3380"/>
      <c r="D122" s="3416">
        <f ca="1">H107</f>
        <v>325592</v>
      </c>
      <c r="E122" s="3417"/>
      <c r="F122" s="3417"/>
      <c r="G122" s="3417"/>
      <c r="H122" s="3417"/>
      <c r="I122" s="3418"/>
      <c r="AA122" s="733"/>
    </row>
    <row r="123" spans="1:27" ht="18.75" customHeight="1">
      <c r="A123" s="3349" t="s">
        <v>1897</v>
      </c>
      <c r="B123" s="3349"/>
      <c r="C123" s="3349"/>
      <c r="D123" s="3389" t="str">
        <f ca="1">NUMBERSTRING(INT(D122*10000),2)&amp;"元整"</f>
        <v>叁拾贰亿伍仟伍佰玖拾贰万元整</v>
      </c>
      <c r="E123" s="3390"/>
      <c r="F123" s="3390"/>
      <c r="G123" s="3390"/>
      <c r="H123" s="3390"/>
      <c r="I123" s="3391"/>
      <c r="AA123" s="733"/>
    </row>
    <row r="124" spans="1:27" ht="18.75" customHeight="1">
      <c r="A124" s="3380" t="str">
        <f>IF(项目基本情况!B9="房地产市场价值","",MID(E109,3,LEN(E109)-2))</f>
        <v/>
      </c>
      <c r="B124" s="3380"/>
      <c r="C124" s="3380"/>
      <c r="D124" s="3416" t="str">
        <f>H109</f>
        <v>——</v>
      </c>
      <c r="E124" s="3417"/>
      <c r="F124" s="3417"/>
      <c r="G124" s="3417"/>
      <c r="H124" s="3417"/>
      <c r="I124" s="3418"/>
      <c r="AA124" s="733"/>
    </row>
    <row r="125" spans="1:27" ht="18.75" customHeight="1">
      <c r="A125" s="3349" t="s">
        <v>1897</v>
      </c>
      <c r="B125" s="3349"/>
      <c r="C125" s="3349"/>
      <c r="D125" s="3389" t="e">
        <f>NUMBERSTRING(INT(D124*10000),2)&amp;"元整"</f>
        <v>#VALUE!</v>
      </c>
      <c r="E125" s="3390"/>
      <c r="F125" s="3390"/>
      <c r="G125" s="3390"/>
      <c r="H125" s="3390"/>
      <c r="I125" s="3391"/>
      <c r="AA125" s="733"/>
    </row>
    <row r="126" spans="1:27" ht="18.75" customHeight="1">
      <c r="A126" s="3380" t="str">
        <f>IF(项目基本情况!B9="房地产市场价值","",MID(E111,3,LEN(E111)-2))</f>
        <v>抵押净值</v>
      </c>
      <c r="B126" s="3380"/>
      <c r="C126" s="3380"/>
      <c r="D126" s="3416">
        <f ca="1">H111</f>
        <v>302147</v>
      </c>
      <c r="E126" s="3417"/>
      <c r="F126" s="3417"/>
      <c r="G126" s="3417"/>
      <c r="H126" s="3417"/>
      <c r="I126" s="3418"/>
      <c r="AA126" s="733"/>
    </row>
    <row r="127" spans="1:27" ht="18.75" customHeight="1">
      <c r="A127" s="3349" t="s">
        <v>1897</v>
      </c>
      <c r="B127" s="3349"/>
      <c r="C127" s="3349"/>
      <c r="D127" s="3389" t="str">
        <f ca="1">NUMBERSTRING(INT(D126*10000),2)&amp;"元整"</f>
        <v>叁拾亿贰仟壹佰肆拾柒万元整</v>
      </c>
      <c r="E127" s="3390"/>
      <c r="F127" s="3390"/>
      <c r="G127" s="3390"/>
      <c r="H127" s="3390"/>
      <c r="I127" s="3391"/>
      <c r="AA127" s="733"/>
    </row>
    <row r="128" spans="1:27" ht="21.75" customHeight="1">
      <c r="A128" s="3399" t="s">
        <v>1898</v>
      </c>
      <c r="B128" s="3399"/>
      <c r="C128" s="3399"/>
      <c r="D128" s="3399"/>
      <c r="E128" s="3399"/>
      <c r="F128" s="3399"/>
      <c r="G128" s="3399"/>
      <c r="H128" s="3399"/>
      <c r="I128" s="3399"/>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v>227304</v>
      </c>
      <c r="E130" s="1975">
        <v>10775</v>
      </c>
      <c r="F130" s="1975">
        <v>86219</v>
      </c>
      <c r="G130" s="1975">
        <v>4087</v>
      </c>
      <c r="H130" s="1976">
        <v>313523</v>
      </c>
      <c r="I130" s="1977">
        <v>14862</v>
      </c>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H36" sqref="H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336631</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15957</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C6+C7+C8</f>
        <v>119771</v>
      </c>
      <c r="D5" s="216" t="s">
        <v>1914</v>
      </c>
      <c r="E5" s="217" t="s">
        <v>1915</v>
      </c>
      <c r="F5" s="217" t="s">
        <v>1916</v>
      </c>
      <c r="G5" s="218"/>
    </row>
    <row r="6" spans="1:9" s="219" customFormat="1" ht="13.5" customHeight="1">
      <c r="A6" s="866" t="s">
        <v>1917</v>
      </c>
      <c r="B6" s="220" t="s">
        <v>1918</v>
      </c>
      <c r="C6" s="221">
        <v>116226</v>
      </c>
      <c r="D6" s="222"/>
      <c r="E6" s="223"/>
      <c r="F6" s="223"/>
      <c r="G6" s="224"/>
    </row>
    <row r="7" spans="1:9" s="219" customFormat="1" ht="13.5" customHeight="1">
      <c r="A7" s="866" t="s">
        <v>1919</v>
      </c>
      <c r="B7" s="220" t="s">
        <v>1920</v>
      </c>
      <c r="C7" s="225">
        <f>ROUND(C6*F7,0)</f>
        <v>3545</v>
      </c>
      <c r="D7" s="225"/>
      <c r="E7" s="223"/>
      <c r="F7" s="226">
        <f>IF(项目基本情况!B8="出让",0,'数据-取费表'!B48+'数据-取费表'!B49)</f>
        <v>3.0499999999999999E-2</v>
      </c>
      <c r="G7" s="224"/>
    </row>
    <row r="8" spans="1:9" s="228" customFormat="1">
      <c r="A8" s="866" t="s">
        <v>1921</v>
      </c>
      <c r="B8" s="220" t="s">
        <v>1922</v>
      </c>
      <c r="C8" s="225">
        <f>IF(G8="已包含在土地购买价格中","0",IF(B1="",'数据-取费表'!B29,IF(G9="全部缴纳",C9+C10,H9)))</f>
        <v>0</v>
      </c>
      <c r="D8" s="227"/>
      <c r="E8" s="225"/>
      <c r="F8" s="226"/>
      <c r="G8" s="1992" t="s">
        <v>3197</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150</v>
      </c>
      <c r="F9" s="226"/>
      <c r="G9" s="1993" t="s">
        <v>3199</v>
      </c>
      <c r="H9" s="1251"/>
      <c r="I9" s="1994" t="s">
        <v>1924</v>
      </c>
    </row>
    <row r="10" spans="1:9" s="219" customFormat="1" ht="13.5" customHeight="1">
      <c r="A10" s="867" t="s">
        <v>620</v>
      </c>
      <c r="B10" s="229" t="s">
        <v>1925</v>
      </c>
      <c r="C10" s="230">
        <f ca="1">ROUND(D10*E10/10000,0)</f>
        <v>4008</v>
      </c>
      <c r="D10" s="934">
        <f ca="1">IF(B1="",'数据-汇总表'!E6,IF(INDIRECT("'数据-取费表'!c"&amp;$G$1)="住宅",INDIRECT("'数据-取费表'!s"&amp;$G$1),INDIRECT("'数据-取费表'!k"&amp;$G$1)+INDIRECT("'数据-取费表'!s"&amp;$G$1)))</f>
        <v>210956.06</v>
      </c>
      <c r="E10" s="230">
        <f>'数据-取费表'!B28</f>
        <v>190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210956.06</v>
      </c>
      <c r="E19" s="216">
        <f>'数据-取费表'!B31</f>
        <v>200</v>
      </c>
      <c r="F19" s="236"/>
      <c r="G19" s="1992" t="s">
        <v>3198</v>
      </c>
    </row>
    <row r="20" spans="1:7" s="219" customFormat="1" ht="13.5" customHeight="1">
      <c r="A20" s="260" t="s">
        <v>1938</v>
      </c>
      <c r="B20" s="215" t="s">
        <v>1939</v>
      </c>
      <c r="C20" s="237">
        <f>ROUND((C5+C19)*F20,0)</f>
        <v>3593</v>
      </c>
      <c r="D20" s="237"/>
      <c r="E20" s="237"/>
      <c r="F20" s="238">
        <f>'数据-取费表'!B37</f>
        <v>0.03</v>
      </c>
      <c r="G20" s="239" t="s">
        <v>1940</v>
      </c>
    </row>
    <row r="21" spans="1:7" s="219" customFormat="1" ht="13.5" customHeight="1">
      <c r="A21" s="260" t="s">
        <v>1941</v>
      </c>
      <c r="B21" s="215" t="s">
        <v>1942</v>
      </c>
      <c r="C21" s="240">
        <f>F21</f>
        <v>0.03</v>
      </c>
      <c r="D21" s="241" t="s">
        <v>1943</v>
      </c>
      <c r="E21" s="237"/>
      <c r="F21" s="238">
        <f>'数据-取费表'!B38</f>
        <v>0.03</v>
      </c>
      <c r="G21" s="239" t="s">
        <v>1944</v>
      </c>
    </row>
    <row r="22" spans="1:7" s="219" customFormat="1" ht="13.5" customHeight="1">
      <c r="A22" s="260" t="s">
        <v>1945</v>
      </c>
      <c r="B22" s="215" t="s">
        <v>1946</v>
      </c>
      <c r="C22" s="1216">
        <f ca="1">ROUND(SUM(C23:C25),0)</f>
        <v>15765</v>
      </c>
      <c r="D22" s="240">
        <f ca="1">C26</f>
        <v>1.9E-3</v>
      </c>
      <c r="E22" s="241" t="s">
        <v>1943</v>
      </c>
      <c r="F22" s="242">
        <f ca="1">'数据-取费表'!B40</f>
        <v>4.1499999999999995E-2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15539</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226</v>
      </c>
      <c r="D25" s="243"/>
      <c r="E25" s="246"/>
      <c r="F25" s="244"/>
      <c r="G25" s="247" t="s">
        <v>1955</v>
      </c>
    </row>
    <row r="26" spans="1:7" s="219" customFormat="1">
      <c r="A26" s="868" t="s">
        <v>614</v>
      </c>
      <c r="B26" s="220" t="s">
        <v>1956</v>
      </c>
      <c r="C26" s="243">
        <f ca="1">ROUND(IF('数据-取费表'!B22&lt;=1,F21*F22*'数据-取费表'!B23/2,F21*(POWER((1+F22),'数据-取费表'!B23/2)-1)),4)</f>
        <v>1.9E-3</v>
      </c>
      <c r="D26" s="243"/>
      <c r="E26" s="246"/>
      <c r="F26" s="244"/>
      <c r="G26" s="248"/>
    </row>
    <row r="27" spans="1:7" s="219" customFormat="1" ht="24.75">
      <c r="A27" s="260" t="s">
        <v>1957</v>
      </c>
      <c r="B27" s="249" t="s">
        <v>1958</v>
      </c>
      <c r="C27" s="250">
        <f ca="1">C28</f>
        <v>30841</v>
      </c>
      <c r="D27" s="240">
        <f ca="1">C29</f>
        <v>7.4999999999999997E-3</v>
      </c>
      <c r="E27" s="241" t="s">
        <v>1959</v>
      </c>
      <c r="F27" s="251">
        <f ca="1">IF(B1="",'数据-取费表'!Q16,INDIRECT("'数据-取费表'!q"&amp;$G$1))</f>
        <v>0.25</v>
      </c>
      <c r="G27" s="252" t="s">
        <v>1960</v>
      </c>
    </row>
    <row r="28" spans="1:7" s="219" customFormat="1" ht="13.5" customHeight="1">
      <c r="A28" s="868" t="s">
        <v>610</v>
      </c>
      <c r="B28" s="253" t="s">
        <v>1961</v>
      </c>
      <c r="C28" s="254">
        <f ca="1">ROUND((C5+C19+C20)*F27*'数据-取费表'!B21/'数据-取费表'!B20,0)</f>
        <v>30841</v>
      </c>
      <c r="D28" s="240"/>
      <c r="E28" s="241"/>
      <c r="F28" s="251"/>
      <c r="G28" s="252"/>
    </row>
    <row r="29" spans="1:7" s="219" customFormat="1" ht="13.5" customHeight="1">
      <c r="A29" s="868" t="s">
        <v>611</v>
      </c>
      <c r="B29" s="253" t="s">
        <v>1962</v>
      </c>
      <c r="C29" s="243">
        <f ca="1">ROUND(C21*F27*'数据-取费表'!B21/'数据-取费表'!B20,4)</f>
        <v>7.4999999999999997E-3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187150</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112801</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101955</v>
      </c>
      <c r="D34" s="222"/>
      <c r="E34" s="225"/>
      <c r="F34" s="262">
        <f ca="1">IF('数据-取费表'!B24=0,1,IF(B1="",'数据-取费表'!N16,INDIRECT("'数据-取费表'!n"&amp;$G$1)))</f>
        <v>1</v>
      </c>
      <c r="G34" s="224" t="s">
        <v>1971</v>
      </c>
    </row>
    <row r="35" spans="1:7" ht="13.5" customHeight="1">
      <c r="A35" s="868" t="s">
        <v>615</v>
      </c>
      <c r="B35" s="220" t="s">
        <v>1972</v>
      </c>
      <c r="C35" s="225">
        <f ca="1">ROUND(C34*F35,0)</f>
        <v>5098</v>
      </c>
      <c r="D35" s="225"/>
      <c r="E35" s="225"/>
      <c r="F35" s="264">
        <f>'数据-取费表'!B33</f>
        <v>0.05</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7" s="263" customFormat="1" ht="13.5" customHeight="1">
      <c r="A37" s="868" t="s">
        <v>617</v>
      </c>
      <c r="B37" s="220" t="s">
        <v>1976</v>
      </c>
      <c r="C37" s="254">
        <f ca="1">ROUND(E37*D37*F34/10000,0)</f>
        <v>4219</v>
      </c>
      <c r="D37" s="222">
        <f ca="1">D19</f>
        <v>210956.06</v>
      </c>
      <c r="E37" s="254">
        <f>'数据-取费表'!B35</f>
        <v>200</v>
      </c>
      <c r="F37" s="264"/>
      <c r="G37" s="266" t="s">
        <v>1977</v>
      </c>
    </row>
    <row r="38" spans="1:7" ht="13.5" customHeight="1">
      <c r="A38" s="868" t="s">
        <v>618</v>
      </c>
      <c r="B38" s="220" t="s">
        <v>1978</v>
      </c>
      <c r="C38" s="225">
        <f ca="1">ROUND(C34*F38,0)</f>
        <v>1529</v>
      </c>
      <c r="D38" s="225"/>
      <c r="E38" s="225"/>
      <c r="F38" s="264">
        <f>'数据-取费表'!B36</f>
        <v>1.4999999999999999E-2</v>
      </c>
      <c r="G38" s="224" t="s">
        <v>1973</v>
      </c>
    </row>
    <row r="39" spans="1:7" s="219" customFormat="1" ht="13.5" customHeight="1">
      <c r="A39" s="260" t="s">
        <v>1979</v>
      </c>
      <c r="B39" s="215" t="s">
        <v>1980</v>
      </c>
      <c r="C39" s="237">
        <f ca="1">ROUND(C33*F20,0)</f>
        <v>3384</v>
      </c>
      <c r="D39" s="237"/>
      <c r="E39" s="237"/>
      <c r="F39" s="2485">
        <f>F20</f>
        <v>0.03</v>
      </c>
      <c r="G39" s="239" t="s">
        <v>1981</v>
      </c>
    </row>
    <row r="40" spans="1:7" s="219" customFormat="1" ht="13.5" customHeight="1">
      <c r="A40" s="260" t="s">
        <v>1982</v>
      </c>
      <c r="B40" s="215" t="s">
        <v>1983</v>
      </c>
      <c r="C40" s="1447">
        <f>F21</f>
        <v>0.03</v>
      </c>
      <c r="D40" s="241" t="s">
        <v>1984</v>
      </c>
      <c r="E40" s="237"/>
      <c r="F40" s="2485">
        <f>F21</f>
        <v>0.03</v>
      </c>
      <c r="G40" s="239" t="s">
        <v>1985</v>
      </c>
    </row>
    <row r="41" spans="1:7" s="219" customFormat="1" ht="13.5" customHeight="1">
      <c r="A41" s="260" t="s">
        <v>1986</v>
      </c>
      <c r="B41" s="215" t="s">
        <v>1987</v>
      </c>
      <c r="C41" s="237">
        <f ca="1">ROUND(SUM(C42:C43),0)</f>
        <v>7307</v>
      </c>
      <c r="D41" s="240">
        <f ca="1">C44</f>
        <v>1.9E-3</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7094</v>
      </c>
      <c r="D42" s="243"/>
      <c r="E42" s="243"/>
      <c r="F42" s="244"/>
      <c r="G42" s="3432" t="s">
        <v>1989</v>
      </c>
    </row>
    <row r="43" spans="1:7" ht="13.5" customHeight="1">
      <c r="A43" s="868" t="s">
        <v>611</v>
      </c>
      <c r="B43" s="220" t="s">
        <v>1990</v>
      </c>
      <c r="C43" s="243">
        <f ca="1">ROUND(IF('数据-取费表'!B22&lt;=1,C39*F22*'数据-取费表'!B21/2,C39*(POWER((1+F22),'数据-取费表'!B21/2)-1)),0)</f>
        <v>213</v>
      </c>
      <c r="D43" s="243"/>
      <c r="E43" s="243"/>
      <c r="F43" s="244"/>
      <c r="G43" s="3433"/>
    </row>
    <row r="44" spans="1:7" ht="13.5" customHeight="1">
      <c r="A44" s="868" t="s">
        <v>612</v>
      </c>
      <c r="B44" s="220" t="s">
        <v>1991</v>
      </c>
      <c r="C44" s="243">
        <f ca="1">ROUND(IF('数据-取费表'!B22&lt;=1,C40*F22*'数据-取费表'!B21/2,C40*(POWER((1+F22),'数据-取费表'!B21/2)-1)),4)</f>
        <v>1.9E-3</v>
      </c>
      <c r="D44" s="243"/>
      <c r="E44" s="243"/>
      <c r="F44" s="244"/>
      <c r="G44" s="3434"/>
    </row>
    <row r="45" spans="1:7" s="219" customFormat="1" ht="13.5" customHeight="1">
      <c r="A45" s="260" t="s">
        <v>1992</v>
      </c>
      <c r="B45" s="249" t="s">
        <v>1958</v>
      </c>
      <c r="C45" s="250">
        <f ca="1">C46</f>
        <v>29046</v>
      </c>
      <c r="D45" s="240">
        <f ca="1">C47</f>
        <v>7.4999999999999997E-3</v>
      </c>
      <c r="E45" s="241" t="s">
        <v>1984</v>
      </c>
      <c r="F45" s="2487">
        <f ca="1">F27</f>
        <v>0.25</v>
      </c>
      <c r="G45" s="252" t="s">
        <v>1993</v>
      </c>
    </row>
    <row r="46" spans="1:7" s="219" customFormat="1" ht="13.5" customHeight="1">
      <c r="A46" s="868" t="s">
        <v>610</v>
      </c>
      <c r="B46" s="253" t="s">
        <v>1994</v>
      </c>
      <c r="C46" s="254">
        <f ca="1">ROUND((C33+C39)*F27,0)</f>
        <v>29046</v>
      </c>
      <c r="D46" s="268"/>
      <c r="E46" s="241"/>
      <c r="F46" s="251"/>
      <c r="G46" s="252"/>
    </row>
    <row r="47" spans="1:7" s="219" customFormat="1" ht="13.5" customHeight="1">
      <c r="A47" s="868" t="s">
        <v>611</v>
      </c>
      <c r="B47" s="253" t="s">
        <v>1995</v>
      </c>
      <c r="C47" s="243">
        <f ca="1">ROUND(C40*F27,4)</f>
        <v>7.4999999999999997E-3</v>
      </c>
      <c r="D47" s="268"/>
      <c r="E47" s="241"/>
      <c r="F47" s="251"/>
      <c r="G47" s="252"/>
    </row>
    <row r="48" spans="1:7" s="219" customFormat="1" ht="13.5" customHeight="1">
      <c r="A48" s="260" t="s">
        <v>1957</v>
      </c>
      <c r="B48" s="215" t="s">
        <v>1996</v>
      </c>
      <c r="C48" s="1447">
        <f>ROUND(F30/(1+'数据-取费表'!C42),4)</f>
        <v>5.2400000000000002E-2</v>
      </c>
      <c r="D48" s="241" t="s">
        <v>1984</v>
      </c>
      <c r="E48" s="237"/>
      <c r="F48" s="2486">
        <f>F30</f>
        <v>5.5000000000000007E-2</v>
      </c>
      <c r="G48" s="239" t="s">
        <v>1997</v>
      </c>
    </row>
    <row r="49" spans="1:7" ht="16.5" customHeight="1">
      <c r="A49" s="260" t="s">
        <v>1963</v>
      </c>
      <c r="B49" s="215" t="s">
        <v>1998</v>
      </c>
      <c r="C49" s="237">
        <f ca="1">ROUND((C33+C39+C41+C45)/(1-C40-D41-D45-C48),0)</f>
        <v>167956</v>
      </c>
      <c r="D49" s="237"/>
      <c r="E49" s="237"/>
      <c r="F49" s="269"/>
      <c r="G49" s="239" t="s">
        <v>1999</v>
      </c>
    </row>
    <row r="50" spans="1:7" s="263" customFormat="1" ht="24">
      <c r="A50" s="260" t="s">
        <v>2000</v>
      </c>
      <c r="B50" s="215" t="s">
        <v>2001</v>
      </c>
      <c r="C50" s="237"/>
      <c r="D50" s="237"/>
      <c r="E50" s="237"/>
      <c r="F50" s="269">
        <f>IF('数据-取费表'!B24=0,'数据-取费表'!N16,1)</f>
        <v>0.89</v>
      </c>
      <c r="G50" s="252" t="s">
        <v>2002</v>
      </c>
    </row>
    <row r="51" spans="1:7" ht="16.5" customHeight="1">
      <c r="A51" s="260" t="s">
        <v>2003</v>
      </c>
      <c r="B51" s="215" t="s">
        <v>2004</v>
      </c>
      <c r="C51" s="237">
        <f ca="1">ROUND(C49*F50,0)</f>
        <v>149481</v>
      </c>
      <c r="D51" s="237"/>
      <c r="E51" s="237"/>
      <c r="F51" s="269"/>
      <c r="G51" s="239" t="s">
        <v>2005</v>
      </c>
    </row>
    <row r="52" spans="1:7" s="213" customFormat="1" ht="16.5" thickBot="1">
      <c r="A52" s="270" t="s">
        <v>2006</v>
      </c>
      <c r="B52" s="271"/>
      <c r="C52" s="272">
        <f ca="1">C31+C51</f>
        <v>336631</v>
      </c>
      <c r="D52" s="271"/>
      <c r="E52" s="271"/>
      <c r="F52" s="271"/>
      <c r="G52" s="273"/>
    </row>
    <row r="55" spans="1:7" ht="15">
      <c r="B55" s="275" t="s">
        <v>2007</v>
      </c>
      <c r="C55" s="276"/>
    </row>
    <row r="56" spans="1:7">
      <c r="B56" s="278" t="s">
        <v>1237</v>
      </c>
      <c r="C56" s="280">
        <f ca="1">1-C57</f>
        <v>0.55600000000000005</v>
      </c>
    </row>
    <row r="57" spans="1:7">
      <c r="B57" s="278" t="s">
        <v>1238</v>
      </c>
      <c r="C57" s="279">
        <f ca="1">ROUND(C51/C52,3)</f>
        <v>0.44400000000000001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3" t="str">
        <f>项目基本情况!B1</f>
        <v>北京市房地产抵押价值预评估</v>
      </c>
      <c r="C37" s="3243"/>
      <c r="D37" s="3243"/>
      <c r="E37" s="3243"/>
      <c r="F37" s="3243"/>
      <c r="G37" s="3243"/>
      <c r="H37" s="3243"/>
      <c r="I37" s="3243"/>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162339</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7695</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40081651</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40081651</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150</v>
      </c>
      <c r="F9" s="226"/>
      <c r="G9" s="231"/>
    </row>
    <row r="10" spans="1:8" s="219" customFormat="1" ht="13.5" customHeight="1">
      <c r="A10" s="867" t="s">
        <v>620</v>
      </c>
      <c r="B10" s="229" t="s">
        <v>1925</v>
      </c>
      <c r="C10" s="230">
        <f ca="1">ROUND(D10*E10,0)</f>
        <v>40081651</v>
      </c>
      <c r="D10" s="934">
        <f ca="1">IF(B1="",'数据-汇总表'!E6,IF(INDIRECT("'数据-取费表'!c"&amp;$G$1)="住宅",INDIRECT("'数据-取费表'!s"&amp;$G$1),INDIRECT("'数据-取费表'!k"&amp;$G$1)+INDIRECT("'数据-取费表'!s"&amp;$G$1)))</f>
        <v>210956.06</v>
      </c>
      <c r="E10" s="230">
        <f>'数据-取费表'!B28</f>
        <v>190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42191212</v>
      </c>
      <c r="D19" s="938">
        <f ca="1">D9+D10</f>
        <v>210956.06</v>
      </c>
      <c r="E19" s="216">
        <f>'数据-取费表'!B31</f>
        <v>200</v>
      </c>
      <c r="F19" s="236"/>
      <c r="G19" s="1992"/>
    </row>
    <row r="20" spans="1:7" s="219" customFormat="1" ht="13.5" customHeight="1">
      <c r="A20" s="260" t="s">
        <v>2019</v>
      </c>
      <c r="B20" s="215" t="s">
        <v>2020</v>
      </c>
      <c r="C20" s="237">
        <f ca="1">ROUND((C5+C19)*F20,0)</f>
        <v>2468186</v>
      </c>
      <c r="D20" s="237"/>
      <c r="E20" s="237"/>
      <c r="F20" s="238">
        <f>'数据-取费表'!B37</f>
        <v>0.03</v>
      </c>
      <c r="G20" s="239" t="s">
        <v>2021</v>
      </c>
    </row>
    <row r="21" spans="1:7" s="219" customFormat="1" ht="13.5" customHeight="1">
      <c r="A21" s="260" t="s">
        <v>2022</v>
      </c>
      <c r="B21" s="215" t="s">
        <v>2023</v>
      </c>
      <c r="C21" s="240">
        <f>F21</f>
        <v>0.03</v>
      </c>
      <c r="D21" s="241" t="s">
        <v>2024</v>
      </c>
      <c r="E21" s="237"/>
      <c r="F21" s="238">
        <f>'数据-取费表'!B38</f>
        <v>0.03</v>
      </c>
      <c r="G21" s="239" t="s">
        <v>2025</v>
      </c>
    </row>
    <row r="22" spans="1:7" s="219" customFormat="1" ht="13.5" customHeight="1">
      <c r="A22" s="260" t="s">
        <v>2026</v>
      </c>
      <c r="B22" s="215" t="s">
        <v>2027</v>
      </c>
      <c r="C22" s="1241">
        <f ca="1">ROUND(SUM(C23:C25),0)</f>
        <v>10829163</v>
      </c>
      <c r="D22" s="240">
        <f ca="1">C26</f>
        <v>1.9E-3</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5200122</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5473813</v>
      </c>
      <c r="D24" s="243"/>
      <c r="E24" s="243"/>
      <c r="F24" s="244"/>
      <c r="G24" s="245" t="s">
        <v>2031</v>
      </c>
    </row>
    <row r="25" spans="1:7" s="219" customFormat="1" ht="24">
      <c r="A25" s="868" t="s">
        <v>1921</v>
      </c>
      <c r="B25" s="220" t="s">
        <v>2032</v>
      </c>
      <c r="C25" s="1242">
        <f ca="1">ROUND(IF('数据-取费表'!B22&lt;=1,C20*F22*'数据-取费表'!B22/2,C20*(POWER((1+F22),'数据-取费表'!B22/2)-1)),0)</f>
        <v>155228</v>
      </c>
      <c r="D25" s="243"/>
      <c r="E25" s="246"/>
      <c r="F25" s="244"/>
      <c r="G25" s="247" t="s">
        <v>2033</v>
      </c>
    </row>
    <row r="26" spans="1:7" s="219" customFormat="1">
      <c r="A26" s="868" t="s">
        <v>614</v>
      </c>
      <c r="B26" s="220" t="s">
        <v>1956</v>
      </c>
      <c r="C26" s="243">
        <f ca="1">ROUND(IF('数据-取费表'!B22&lt;=1,F21*F22*'数据-取费表'!B22/2,F21*(POWER((1+F22),'数据-取费表'!B22/2)-1)),4)</f>
        <v>1.9E-3</v>
      </c>
      <c r="D26" s="243"/>
      <c r="E26" s="246"/>
      <c r="F26" s="244"/>
      <c r="G26" s="248"/>
    </row>
    <row r="27" spans="1:7" s="219" customFormat="1" ht="24.75">
      <c r="A27" s="260" t="s">
        <v>1957</v>
      </c>
      <c r="B27" s="249" t="s">
        <v>1958</v>
      </c>
      <c r="C27" s="250">
        <f ca="1">C28</f>
        <v>21185262</v>
      </c>
      <c r="D27" s="240">
        <f ca="1">C29</f>
        <v>7.4999999999999997E-3</v>
      </c>
      <c r="E27" s="241" t="s">
        <v>1959</v>
      </c>
      <c r="F27" s="251">
        <f ca="1">IF(B1="",'数据-取费表'!Q16,INDIRECT("'数据-取费表'!q"&amp;$G$1))</f>
        <v>0.25</v>
      </c>
      <c r="G27" s="252" t="s">
        <v>1960</v>
      </c>
    </row>
    <row r="28" spans="1:7" s="219" customFormat="1" ht="13.5" customHeight="1">
      <c r="A28" s="868" t="s">
        <v>610</v>
      </c>
      <c r="B28" s="253" t="s">
        <v>1961</v>
      </c>
      <c r="C28" s="254">
        <f ca="1">ROUND((C5+C19+C20)*F27,0)</f>
        <v>21185262</v>
      </c>
      <c r="D28" s="240"/>
      <c r="E28" s="241"/>
      <c r="F28" s="251"/>
      <c r="G28" s="252"/>
    </row>
    <row r="29" spans="1:7" s="219" customFormat="1" ht="13.5" customHeight="1">
      <c r="A29" s="868" t="s">
        <v>611</v>
      </c>
      <c r="B29" s="253" t="s">
        <v>1962</v>
      </c>
      <c r="C29" s="243">
        <f ca="1">ROUND(C21*F27,4)</f>
        <v>7.4999999999999997E-3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128557007</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1128020141</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1019557680</v>
      </c>
      <c r="D34" s="222"/>
      <c r="E34" s="225"/>
      <c r="F34" s="262"/>
      <c r="G34" s="224"/>
    </row>
    <row r="35" spans="1:7" ht="13.5" customHeight="1">
      <c r="A35" s="868" t="s">
        <v>615</v>
      </c>
      <c r="B35" s="220" t="s">
        <v>1972</v>
      </c>
      <c r="C35" s="225">
        <f ca="1">ROUND(C34*F35,0)</f>
        <v>50977884</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42191212</v>
      </c>
      <c r="D37" s="222">
        <f ca="1">D19</f>
        <v>210956.06</v>
      </c>
      <c r="E37" s="254">
        <f>'数据-取费表'!B35</f>
        <v>200</v>
      </c>
      <c r="F37" s="264"/>
      <c r="G37" s="266"/>
    </row>
    <row r="38" spans="1:7" ht="13.5" customHeight="1">
      <c r="A38" s="868" t="s">
        <v>618</v>
      </c>
      <c r="B38" s="220" t="s">
        <v>1978</v>
      </c>
      <c r="C38" s="225">
        <f ca="1">ROUND(C34*F38,0)</f>
        <v>15293365</v>
      </c>
      <c r="D38" s="225"/>
      <c r="E38" s="225"/>
      <c r="F38" s="264">
        <f>'数据-取费表'!B36</f>
        <v>1.4999999999999999E-2</v>
      </c>
      <c r="G38" s="224" t="s">
        <v>1973</v>
      </c>
    </row>
    <row r="39" spans="1:7" s="219" customFormat="1" ht="13.5" customHeight="1">
      <c r="A39" s="260" t="s">
        <v>1979</v>
      </c>
      <c r="B39" s="215" t="s">
        <v>1980</v>
      </c>
      <c r="C39" s="237">
        <f ca="1">ROUND(C33*F20,0)</f>
        <v>33840604</v>
      </c>
      <c r="D39" s="237"/>
      <c r="E39" s="237"/>
      <c r="F39" s="2485">
        <f>F20</f>
        <v>0.03</v>
      </c>
      <c r="G39" s="239" t="s">
        <v>1981</v>
      </c>
    </row>
    <row r="40" spans="1:7" s="219" customFormat="1" ht="13.5" customHeight="1">
      <c r="A40" s="260" t="s">
        <v>1982</v>
      </c>
      <c r="B40" s="215" t="s">
        <v>1983</v>
      </c>
      <c r="C40" s="1447">
        <f>F21</f>
        <v>0.03</v>
      </c>
      <c r="D40" s="241" t="s">
        <v>1984</v>
      </c>
      <c r="E40" s="237"/>
      <c r="F40" s="2485">
        <f>F21</f>
        <v>0.03</v>
      </c>
      <c r="G40" s="239" t="s">
        <v>1985</v>
      </c>
    </row>
    <row r="41" spans="1:7" s="219" customFormat="1" ht="13.5" customHeight="1">
      <c r="A41" s="260" t="s">
        <v>1986</v>
      </c>
      <c r="B41" s="215" t="s">
        <v>1987</v>
      </c>
      <c r="C41" s="237">
        <f ca="1">ROUND(SUM(C42:C43),0)</f>
        <v>73071100</v>
      </c>
      <c r="D41" s="240">
        <f ca="1">C44</f>
        <v>1.9E-3</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70942816</v>
      </c>
      <c r="D42" s="243"/>
      <c r="E42" s="243"/>
      <c r="F42" s="244"/>
      <c r="G42" s="3432" t="s">
        <v>2036</v>
      </c>
    </row>
    <row r="43" spans="1:7" ht="13.5" customHeight="1">
      <c r="A43" s="868" t="s">
        <v>611</v>
      </c>
      <c r="B43" s="220" t="s">
        <v>1990</v>
      </c>
      <c r="C43" s="243">
        <f ca="1">ROUND(IF('数据-取费表'!B22&lt;=1,C39*F22*'数据-取费表'!B20/2,C39*(POWER((1+F22),'数据-取费表'!B20/2)-1)),0)</f>
        <v>2128284</v>
      </c>
      <c r="D43" s="243"/>
      <c r="E43" s="243"/>
      <c r="F43" s="244"/>
      <c r="G43" s="3433"/>
    </row>
    <row r="44" spans="1:7" ht="13.5" customHeight="1">
      <c r="A44" s="868" t="s">
        <v>612</v>
      </c>
      <c r="B44" s="220" t="s">
        <v>1991</v>
      </c>
      <c r="C44" s="243">
        <f ca="1">ROUND(IF('数据-取费表'!B22&lt;=1,C40*F22*'数据-取费表'!B20/2,C40*(POWER((1+F22),'数据-取费表'!B20/2)-1)),4)</f>
        <v>1.9E-3</v>
      </c>
      <c r="D44" s="243"/>
      <c r="E44" s="243"/>
      <c r="F44" s="244"/>
      <c r="G44" s="3434"/>
    </row>
    <row r="45" spans="1:7" s="219" customFormat="1" ht="13.5" customHeight="1">
      <c r="A45" s="260" t="s">
        <v>1992</v>
      </c>
      <c r="B45" s="249" t="s">
        <v>1958</v>
      </c>
      <c r="C45" s="250">
        <f ca="1">C46</f>
        <v>290465186</v>
      </c>
      <c r="D45" s="240">
        <f ca="1">C47</f>
        <v>7.4999999999999997E-3</v>
      </c>
      <c r="E45" s="241" t="s">
        <v>1984</v>
      </c>
      <c r="F45" s="2487">
        <f ca="1">F27</f>
        <v>0.25</v>
      </c>
      <c r="G45" s="252" t="s">
        <v>1993</v>
      </c>
    </row>
    <row r="46" spans="1:7" s="219" customFormat="1" ht="13.5" customHeight="1">
      <c r="A46" s="868" t="s">
        <v>610</v>
      </c>
      <c r="B46" s="253" t="s">
        <v>1994</v>
      </c>
      <c r="C46" s="254">
        <f ca="1">ROUND((C33+C39)*F27,0)</f>
        <v>290465186</v>
      </c>
      <c r="D46" s="268"/>
      <c r="E46" s="241"/>
      <c r="F46" s="251"/>
      <c r="G46" s="252"/>
    </row>
    <row r="47" spans="1:7" s="219" customFormat="1" ht="13.5" customHeight="1">
      <c r="A47" s="868" t="s">
        <v>611</v>
      </c>
      <c r="B47" s="253" t="s">
        <v>1995</v>
      </c>
      <c r="C47" s="243">
        <f ca="1">ROUND(C40*F27,4)</f>
        <v>7.4999999999999997E-3</v>
      </c>
      <c r="D47" s="268"/>
      <c r="E47" s="241"/>
      <c r="F47" s="251"/>
      <c r="G47" s="252"/>
    </row>
    <row r="48" spans="1:7" s="219" customFormat="1" ht="13.5" customHeight="1">
      <c r="A48" s="260" t="s">
        <v>1957</v>
      </c>
      <c r="B48" s="215" t="s">
        <v>1996</v>
      </c>
      <c r="C48" s="267">
        <f>ROUND(F30/(1+'数据-取费表'!C42),4)</f>
        <v>5.2400000000000002E-2</v>
      </c>
      <c r="D48" s="241" t="s">
        <v>1984</v>
      </c>
      <c r="E48" s="237"/>
      <c r="F48" s="2486">
        <f>F30</f>
        <v>5.5000000000000007E-2</v>
      </c>
      <c r="G48" s="239" t="s">
        <v>1997</v>
      </c>
    </row>
    <row r="49" spans="1:7" ht="16.5" customHeight="1">
      <c r="A49" s="260" t="s">
        <v>1963</v>
      </c>
      <c r="B49" s="215" t="s">
        <v>2037</v>
      </c>
      <c r="C49" s="237">
        <f ca="1">ROUND((C33+C39+C41+C45)/(1-C40-D41-D45-C48),0)</f>
        <v>1679582725</v>
      </c>
      <c r="D49" s="237"/>
      <c r="E49" s="237"/>
      <c r="F49" s="269"/>
      <c r="G49" s="239" t="s">
        <v>1999</v>
      </c>
    </row>
    <row r="50" spans="1:7" s="263" customFormat="1">
      <c r="A50" s="260" t="s">
        <v>2000</v>
      </c>
      <c r="B50" s="215" t="s">
        <v>2001</v>
      </c>
      <c r="C50" s="237"/>
      <c r="D50" s="237"/>
      <c r="E50" s="237"/>
      <c r="F50" s="269">
        <f>IF('数据-取费表'!B24=0,'数据-取费表'!N16,1)</f>
        <v>0.89</v>
      </c>
      <c r="G50" s="252"/>
    </row>
    <row r="51" spans="1:7" ht="16.5" customHeight="1">
      <c r="A51" s="260" t="s">
        <v>2003</v>
      </c>
      <c r="B51" s="215" t="s">
        <v>2038</v>
      </c>
      <c r="C51" s="237">
        <f ca="1">ROUND(C49*F50,0)</f>
        <v>1494828625</v>
      </c>
      <c r="D51" s="237"/>
      <c r="E51" s="237"/>
      <c r="F51" s="269"/>
      <c r="G51" s="239" t="s">
        <v>2005</v>
      </c>
    </row>
    <row r="52" spans="1:7" s="213" customFormat="1" ht="16.5" thickBot="1">
      <c r="A52" s="270" t="s">
        <v>2006</v>
      </c>
      <c r="B52" s="271"/>
      <c r="C52" s="272">
        <f ca="1">C31+C51</f>
        <v>1623385632</v>
      </c>
      <c r="D52" s="271"/>
      <c r="E52" s="271"/>
      <c r="F52" s="271"/>
      <c r="G52" s="273"/>
    </row>
    <row r="55" spans="1:7" ht="15">
      <c r="B55" s="275" t="s">
        <v>2007</v>
      </c>
      <c r="C55" s="276"/>
    </row>
    <row r="56" spans="1:7">
      <c r="B56" s="278" t="s">
        <v>1237</v>
      </c>
      <c r="C56" s="280">
        <f ca="1">1-C57</f>
        <v>7.8999999999999959E-2</v>
      </c>
    </row>
    <row r="57" spans="1:7">
      <c r="B57" s="278" t="s">
        <v>1238</v>
      </c>
      <c r="C57" s="279">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7</v>
      </c>
    </row>
    <row r="2" spans="1:33" ht="18" customHeight="1">
      <c r="A2" s="206" t="s">
        <v>1907</v>
      </c>
      <c r="B2" s="209">
        <f ca="1">C32</f>
        <v>-5015</v>
      </c>
      <c r="C2" s="281" t="s">
        <v>2040</v>
      </c>
      <c r="D2" s="281"/>
      <c r="E2" s="2986"/>
      <c r="F2" s="2986"/>
      <c r="G2" s="2986"/>
      <c r="H2" s="2986"/>
      <c r="I2" s="2986"/>
      <c r="J2" s="2986"/>
      <c r="K2" s="2986"/>
    </row>
    <row r="3" spans="1:33" ht="18" customHeight="1" thickBot="1">
      <c r="A3" s="208" t="s">
        <v>1909</v>
      </c>
      <c r="B3" s="209">
        <f ca="1">ROUND(B2*10000/IF(C1="",'数据-汇总表'!E3,INDIRECT("'数据-取费表'!K"&amp;$K$1)),0)</f>
        <v>-238</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210956.06</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210956.06</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4008</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150</v>
      </c>
      <c r="F19" s="893"/>
      <c r="G19" s="15"/>
      <c r="H19" s="1303"/>
      <c r="I19" s="898"/>
      <c r="J19" s="898"/>
      <c r="K19" s="899"/>
    </row>
    <row r="20" spans="1:33" s="892" customFormat="1" ht="13.5" customHeight="1">
      <c r="A20" s="888" t="s">
        <v>625</v>
      </c>
      <c r="B20" s="889" t="s">
        <v>2075</v>
      </c>
      <c r="C20" s="24">
        <f ca="1">ROUND(D20*E20/10000,0)</f>
        <v>4008</v>
      </c>
      <c r="D20" s="935">
        <f ca="1">IF(C1="",'数据-汇总表'!E6,IF(INDIRECT("'数据-取费表'!c"&amp;$K$1)="住宅",INDIRECT("'数据-取费表'!s"&amp;$K$1),INDIRECT("'数据-取费表'!k"&amp;$K$1)+INDIRECT("'数据-取费表'!s"&amp;$K$1)))</f>
        <v>210956.06</v>
      </c>
      <c r="E20" s="24">
        <f>'数据-取费表'!B28</f>
        <v>190</v>
      </c>
      <c r="F20" s="893"/>
      <c r="G20" s="15"/>
      <c r="H20" s="898"/>
      <c r="I20" s="898"/>
      <c r="J20" s="898"/>
      <c r="K20" s="899"/>
    </row>
    <row r="21" spans="1:33" s="892" customFormat="1" ht="13.5" customHeight="1">
      <c r="A21" s="878" t="s">
        <v>621</v>
      </c>
      <c r="B21" s="902" t="s">
        <v>2076</v>
      </c>
      <c r="C21" s="903">
        <f ca="1">C16+C17+C18</f>
        <v>4008</v>
      </c>
      <c r="D21" s="904"/>
      <c r="E21" s="286"/>
      <c r="F21" s="286"/>
      <c r="G21" s="135" t="s">
        <v>2077</v>
      </c>
      <c r="H21" s="896"/>
      <c r="I21" s="896"/>
      <c r="J21" s="896"/>
      <c r="K21" s="897"/>
    </row>
    <row r="22" spans="1:33" s="892" customFormat="1" ht="13.5" customHeight="1">
      <c r="A22" s="878" t="s">
        <v>2049</v>
      </c>
      <c r="B22" s="902" t="s">
        <v>2078</v>
      </c>
      <c r="C22" s="903">
        <f ca="1">ROUND(C21*F22,0)</f>
        <v>120</v>
      </c>
      <c r="D22" s="286"/>
      <c r="E22" s="286"/>
      <c r="F22" s="905">
        <f>'数据-取费表'!B37</f>
        <v>0.03</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0.03</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1032</v>
      </c>
      <c r="D28" s="285">
        <f ca="1">C29</f>
        <v>0</v>
      </c>
      <c r="E28" s="287" t="s">
        <v>15</v>
      </c>
      <c r="F28" s="293">
        <f ca="1">IF(C1="",'数据-取费表'!Q16,INDIRECT("'数据-取费表'!q"&amp;$K$1))</f>
        <v>0.25</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1032</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-5015</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 sqref="D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1102</v>
      </c>
      <c r="D1" s="1496" t="s">
        <v>70</v>
      </c>
      <c r="E1" s="1497" t="s">
        <v>1111</v>
      </c>
      <c r="F1" s="1173">
        <f ca="1">J53</f>
        <v>28.32</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314553</v>
      </c>
      <c r="C2" s="1521" t="s">
        <v>1240</v>
      </c>
      <c r="D2" s="1521"/>
      <c r="E2" s="1522"/>
      <c r="F2" s="1523"/>
      <c r="G2" s="2884"/>
      <c r="H2" s="2873"/>
      <c r="I2" s="2873"/>
      <c r="J2" s="2873"/>
      <c r="K2" s="2874"/>
      <c r="L2" s="2873"/>
      <c r="M2" s="2873"/>
    </row>
    <row r="3" spans="1:37" ht="18" customHeight="1" thickBot="1">
      <c r="A3" s="1524" t="s">
        <v>1241</v>
      </c>
      <c r="B3" s="1525">
        <f ca="1">IF(ISERROR(B2*10000/F43),0,ROUND(B2*10000/F43,0))</f>
        <v>16269</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23800</v>
      </c>
      <c r="D5" s="1498" t="s">
        <v>1126</v>
      </c>
      <c r="E5" s="1183"/>
      <c r="F5" s="1184"/>
      <c r="G5" s="1518"/>
      <c r="H5" s="304">
        <v>1</v>
      </c>
      <c r="I5" s="305" t="s">
        <v>1125</v>
      </c>
      <c r="J5" s="1182">
        <f ca="1">J6+J10+J12</f>
        <v>0</v>
      </c>
      <c r="K5" s="1498" t="s">
        <v>1126</v>
      </c>
      <c r="L5" s="1183"/>
      <c r="M5" s="1184"/>
    </row>
    <row r="6" spans="1:37" ht="18" customHeight="1">
      <c r="A6" s="1181" t="s">
        <v>822</v>
      </c>
      <c r="B6" s="3437" t="s">
        <v>1127</v>
      </c>
      <c r="C6" s="1186">
        <f ca="1">ROUND(F6*F8*F7*(1-F9)/10000,0)</f>
        <v>23770</v>
      </c>
      <c r="D6" s="159" t="s">
        <v>2609</v>
      </c>
      <c r="E6" s="307" t="s">
        <v>1129</v>
      </c>
      <c r="F6" s="308">
        <f ca="1">INDIRECT("'数据-取费表'!u"&amp;$G$1)</f>
        <v>5</v>
      </c>
      <c r="G6" s="1518"/>
      <c r="H6" s="1181" t="s">
        <v>822</v>
      </c>
      <c r="I6" s="3437" t="s">
        <v>1127</v>
      </c>
      <c r="J6" s="306">
        <f ca="1">ROUND(M6*M8*M7*(1-M9)/10000,0)</f>
        <v>0</v>
      </c>
      <c r="K6" s="159" t="s">
        <v>2608</v>
      </c>
      <c r="L6" s="307" t="s">
        <v>1129</v>
      </c>
      <c r="M6" s="308">
        <f ca="1">INDIRECT("'数据-取费表'!z"&amp;$G$1)</f>
        <v>0</v>
      </c>
    </row>
    <row r="7" spans="1:37" ht="18" customHeight="1">
      <c r="A7" s="1185"/>
      <c r="B7" s="3438"/>
      <c r="C7" s="1187"/>
      <c r="D7" s="312"/>
      <c r="E7" s="1188" t="s">
        <v>1130</v>
      </c>
      <c r="F7" s="308">
        <f ca="1">IF(INDIRECT("'数据-取费表'!ah"&amp;$G$1)="",INDIRECT("'数据-取费表'!k"&amp;$G$1),INDIRECT("'数据-取费表'!ah"&amp;$G$1))</f>
        <v>144719.51</v>
      </c>
      <c r="G7" s="1518"/>
      <c r="H7" s="309"/>
      <c r="I7" s="3438"/>
      <c r="J7" s="311"/>
      <c r="K7" s="312"/>
      <c r="L7" s="307" t="s">
        <v>1130</v>
      </c>
      <c r="M7" s="308">
        <f ca="1">F7</f>
        <v>144719.51</v>
      </c>
    </row>
    <row r="8" spans="1:37" ht="18" customHeight="1">
      <c r="A8" s="309"/>
      <c r="B8" s="3438"/>
      <c r="C8" s="311"/>
      <c r="D8" s="312"/>
      <c r="E8" s="307" t="s">
        <v>1131</v>
      </c>
      <c r="F8" s="308">
        <f ca="1">INDIRECT("'数据-取费表'!ai"&amp;$G$1)</f>
        <v>365</v>
      </c>
      <c r="G8" s="1518"/>
      <c r="H8" s="309"/>
      <c r="I8" s="3438"/>
      <c r="J8" s="311"/>
      <c r="K8" s="312"/>
      <c r="L8" s="307" t="s">
        <v>1131</v>
      </c>
      <c r="M8" s="308">
        <f ca="1">INDIRECT("'数据-取费表'!ai"&amp;$G$1)</f>
        <v>365</v>
      </c>
    </row>
    <row r="9" spans="1:37" ht="18" customHeight="1">
      <c r="A9" s="309"/>
      <c r="B9" s="3439"/>
      <c r="C9" s="311"/>
      <c r="D9" s="312"/>
      <c r="E9" s="307" t="s">
        <v>1132</v>
      </c>
      <c r="F9" s="317">
        <f ca="1">INDIRECT("'数据-取费表'!w"&amp;$G$1)</f>
        <v>0.1</v>
      </c>
      <c r="G9" s="1518"/>
      <c r="H9" s="309"/>
      <c r="I9" s="3439"/>
      <c r="J9" s="311"/>
      <c r="K9" s="312"/>
      <c r="L9" s="318" t="s">
        <v>1132</v>
      </c>
      <c r="M9" s="319">
        <f ca="1">INDIRECT("'数据-取费表'!ab"&amp;$G$1)</f>
        <v>0</v>
      </c>
    </row>
    <row r="10" spans="1:37" ht="18" customHeight="1">
      <c r="A10" s="1181" t="s">
        <v>826</v>
      </c>
      <c r="B10" s="1499" t="s">
        <v>1133</v>
      </c>
      <c r="C10" s="321">
        <f ca="1">ROUND(IF(F10="押一",C6/12*F11,IF(F10="押二",C6/12*2*F11,IF(F10="押三",C6/12*3*F11,C11*F11))),0)</f>
        <v>30</v>
      </c>
      <c r="D10" s="1500" t="s">
        <v>2617</v>
      </c>
      <c r="E10" s="318" t="s">
        <v>1134</v>
      </c>
      <c r="F10" s="1228" t="s">
        <v>3192</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149481</v>
      </c>
      <c r="D13" s="1193" t="s">
        <v>1139</v>
      </c>
      <c r="E13" s="1193" t="s">
        <v>1140</v>
      </c>
      <c r="F13" s="1194">
        <f ca="1">INDIRECT("'数据-取费表'!y"&amp;$G$1)</f>
        <v>0.89</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101955</v>
      </c>
      <c r="D14" s="1479" t="s">
        <v>1142</v>
      </c>
      <c r="E14" s="1476"/>
      <c r="F14" s="324"/>
      <c r="G14" s="1518"/>
      <c r="H14" s="1093" t="s">
        <v>822</v>
      </c>
      <c r="I14" s="307" t="s">
        <v>1143</v>
      </c>
      <c r="J14" s="24">
        <f ca="1">C29</f>
        <v>167956</v>
      </c>
      <c r="K14" s="15"/>
      <c r="L14" s="896"/>
      <c r="M14" s="897"/>
    </row>
    <row r="15" spans="1:37" s="1531" customFormat="1" ht="18" customHeight="1" thickBot="1">
      <c r="A15" s="1093" t="s">
        <v>823</v>
      </c>
      <c r="B15" s="307" t="s">
        <v>1144</v>
      </c>
      <c r="C15" s="24">
        <f ca="1">ROUND(C14*F15,0)</f>
        <v>5098</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3938</v>
      </c>
      <c r="K16" s="1199" t="s">
        <v>1149</v>
      </c>
      <c r="L16" s="1200"/>
      <c r="M16" s="1184"/>
    </row>
    <row r="17" spans="1:37" s="1531" customFormat="1" ht="18" customHeight="1">
      <c r="A17" s="1093" t="s">
        <v>1114</v>
      </c>
      <c r="B17" s="307" t="s">
        <v>1150</v>
      </c>
      <c r="C17" s="24">
        <f ca="1">ROUND(F17*(F43+INDIRECT("'数据-取费表'!S"&amp;$G$1))/10000,0)</f>
        <v>4219</v>
      </c>
      <c r="D17" s="307" t="s">
        <v>1151</v>
      </c>
      <c r="E17" s="307" t="s">
        <v>1152</v>
      </c>
      <c r="F17" s="26">
        <f>'数据-取费表'!B35</f>
        <v>200</v>
      </c>
      <c r="G17" s="1530"/>
      <c r="H17" s="1093" t="s">
        <v>822</v>
      </c>
      <c r="I17" s="307" t="s">
        <v>1153</v>
      </c>
      <c r="J17" s="2484">
        <f ca="1">ROUND(IF(AND(项目基本情况!B11="自然人",项目基本情况!B10="北京市"),J6*M17/(1+'数据-取费表'!C42),J18+J19+J20),0)</f>
        <v>1419</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1529</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112801</v>
      </c>
      <c r="D19" s="135" t="s">
        <v>1160</v>
      </c>
      <c r="E19" s="1494"/>
      <c r="F19" s="26"/>
      <c r="G19" s="1518"/>
      <c r="H19" s="1093" t="s">
        <v>823</v>
      </c>
      <c r="I19" s="307" t="s">
        <v>1161</v>
      </c>
      <c r="J19" s="24">
        <f ca="1">IF(K19="按租金收入计税",ROUND(J6*M19/(1+'数据-取费表'!C42),2),ROUND(C29*M19*0.7,2))</f>
        <v>1410.83</v>
      </c>
      <c r="K19" s="1504" t="s">
        <v>1162</v>
      </c>
      <c r="L19" s="307" t="s">
        <v>1146</v>
      </c>
      <c r="M19" s="327">
        <f>IF(K19="按租金收入计税",'数据-取费表'!B51,'数据-取费表'!B50)</f>
        <v>1.2E-2</v>
      </c>
    </row>
    <row r="20" spans="1:37" s="1531" customFormat="1" ht="18" customHeight="1">
      <c r="A20" s="1093" t="s">
        <v>826</v>
      </c>
      <c r="B20" s="307" t="s">
        <v>1163</v>
      </c>
      <c r="C20" s="24">
        <f ca="1">ROUND(C19*F20,0)</f>
        <v>3384</v>
      </c>
      <c r="D20" s="328" t="s">
        <v>1164</v>
      </c>
      <c r="E20" s="307" t="s">
        <v>1146</v>
      </c>
      <c r="F20" s="327">
        <f>'数据-取费表'!B37</f>
        <v>0.03</v>
      </c>
      <c r="G20" s="1530"/>
      <c r="H20" s="1093" t="s">
        <v>1113</v>
      </c>
      <c r="I20" s="159" t="s">
        <v>1165</v>
      </c>
      <c r="J20" s="25">
        <f ca="1">ROUND(M20*M21/10000,2)</f>
        <v>8.2799999999999994</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0.03</v>
      </c>
      <c r="G21" s="1530"/>
      <c r="H21" s="331"/>
      <c r="I21" s="316"/>
      <c r="J21" s="29"/>
      <c r="K21" s="332"/>
      <c r="L21" s="307" t="s">
        <v>1171</v>
      </c>
      <c r="M21" s="308">
        <f ca="1">INDIRECT("'数据-取费表'!r"&amp;$G$1)</f>
        <v>55191.78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2519.3000000000002</v>
      </c>
      <c r="K22" s="1478" t="s">
        <v>1174</v>
      </c>
      <c r="L22" s="307" t="s">
        <v>1146</v>
      </c>
      <c r="M22" s="333">
        <f ca="1">INDIRECT("'数据-取费表'!Ak"&amp;$G$1)</f>
        <v>1.4999999999999999E-2</v>
      </c>
    </row>
    <row r="23" spans="1:37" s="1531" customFormat="1" ht="18" customHeight="1">
      <c r="A23" s="1093" t="s">
        <v>821</v>
      </c>
      <c r="B23" s="307" t="s">
        <v>1175</v>
      </c>
      <c r="C23" s="24">
        <f ca="1">IF('数据-取费表'!B22&lt;=1,ROUND(C19*F24*F23/2,0)+ROUND(C20*F24*F23/2,0),ROUND(C19*(POWER((1+F24),F23/2)-1),0)+ROUND(C20*(POWER((1+F24),F23/2)-1),0))</f>
        <v>7307</v>
      </c>
      <c r="D23" s="334" t="str">
        <f>IF(F23&lt;=1,"(建造成本+管理费用)×利率×(建设周期÷2)","(建造成本+管理费用)×((1+利率)^(建设周期÷2)-1)")</f>
        <v>(建造成本+管理费用)×((1+利率)^(建设周期÷2)-1)</v>
      </c>
      <c r="E23" s="307" t="s">
        <v>1176</v>
      </c>
      <c r="F23" s="330">
        <f>'数据-取费表'!B20</f>
        <v>3</v>
      </c>
      <c r="G23" s="1530"/>
      <c r="H23" s="1093" t="s">
        <v>862</v>
      </c>
      <c r="I23" s="307" t="s">
        <v>1177</v>
      </c>
      <c r="J23" s="24">
        <f ca="1">ROUND(J13*M23,1)</f>
        <v>0</v>
      </c>
      <c r="K23" s="1478" t="s">
        <v>1178</v>
      </c>
      <c r="L23" s="307" t="s">
        <v>1179</v>
      </c>
      <c r="M23" s="335">
        <f ca="1">INDIRECT("'数据-取费表'!Al"&amp;$G$1)</f>
        <v>2E-3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-3938</v>
      </c>
      <c r="K25" s="1207" t="s">
        <v>1188</v>
      </c>
      <c r="L25" s="1208"/>
      <c r="M25" s="1209"/>
    </row>
    <row r="26" spans="1:37">
      <c r="A26" s="1093" t="s">
        <v>821</v>
      </c>
      <c r="B26" s="307" t="s">
        <v>1189</v>
      </c>
      <c r="C26" s="24">
        <f ca="1">ROUND((C19+C20)*F26,0)</f>
        <v>29046</v>
      </c>
      <c r="D26" s="328" t="s">
        <v>1190</v>
      </c>
      <c r="E26" s="318" t="s">
        <v>1191</v>
      </c>
      <c r="F26" s="317">
        <f ca="1">INDIRECT("'数据-取费表'!q"&amp;$G$1)</f>
        <v>0.25</v>
      </c>
      <c r="G26" s="1518"/>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4">
        <f ca="1">ROUND(F21*F26,4)</f>
        <v>7.4999999999999997E-3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167956</v>
      </c>
      <c r="D29" s="1204"/>
      <c r="E29" s="1202"/>
      <c r="F29" s="1205"/>
      <c r="G29" s="1530"/>
      <c r="H29" s="339" t="s">
        <v>820</v>
      </c>
      <c r="I29" s="340" t="s">
        <v>1203</v>
      </c>
      <c r="J29" s="341">
        <f ca="1">ROUND(J26/(1+F40)^F41,0)</f>
        <v>0</v>
      </c>
      <c r="K29" s="342" t="s">
        <v>1204</v>
      </c>
      <c r="L29" s="343"/>
      <c r="M29" s="344">
        <f ca="1">INDIRECT("'数据-取费表'!k"&amp;$G$1)</f>
        <v>193344.75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7264</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3970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4">
        <f ca="1">IF(项目基本情况!B11="自然人","——",ROUND(C6*F32/(1+'数据-取费表'!C42),2))</f>
        <v>1245.0999999999999</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2716.57</v>
      </c>
      <c r="D33" s="1504" t="s">
        <v>3193</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8.2799999999999994</v>
      </c>
      <c r="D34" s="329" t="s">
        <v>1166</v>
      </c>
      <c r="E34" s="307" t="s">
        <v>1167</v>
      </c>
      <c r="F34" s="330">
        <f>'数据-取费表'!B52</f>
        <v>1.5</v>
      </c>
      <c r="G34" s="1518"/>
      <c r="H34" s="2875"/>
      <c r="I34" s="1532"/>
      <c r="J34" s="1533"/>
      <c r="K34" s="2880"/>
      <c r="L34" s="2881"/>
      <c r="M34" s="2881"/>
    </row>
    <row r="35" spans="1:18" ht="18" customHeight="1">
      <c r="A35" s="1215"/>
      <c r="B35" s="1213"/>
      <c r="C35" s="29"/>
      <c r="D35" s="332"/>
      <c r="E35" s="307" t="s">
        <v>1171</v>
      </c>
      <c r="F35" s="308">
        <f ca="1">INDIRECT("'数据-取费表'!r"&amp;$G$1)</f>
        <v>55191.78</v>
      </c>
      <c r="G35" s="1518"/>
      <c r="H35" s="2875"/>
      <c r="I35" s="1532"/>
      <c r="J35" s="1533"/>
      <c r="K35" s="2879"/>
      <c r="L35" s="2878"/>
      <c r="M35" s="2878"/>
    </row>
    <row r="36" spans="1:18" ht="18" customHeight="1">
      <c r="A36" s="1214" t="s">
        <v>826</v>
      </c>
      <c r="B36" s="307" t="s">
        <v>1173</v>
      </c>
      <c r="C36" s="24">
        <f ca="1">ROUND(C29*F36,1)</f>
        <v>2519.3000000000002</v>
      </c>
      <c r="D36" s="1478" t="s">
        <v>1206</v>
      </c>
      <c r="E36" s="307" t="s">
        <v>1146</v>
      </c>
      <c r="F36" s="333">
        <f ca="1">INDIRECT("'数据-取费表'!Ak"&amp;$G$1)</f>
        <v>1.4999999999999999E-2</v>
      </c>
      <c r="G36" s="1518"/>
      <c r="H36" s="2878"/>
      <c r="I36" s="1532"/>
      <c r="J36" s="1533"/>
      <c r="K36" s="2719"/>
      <c r="L36" s="2878"/>
      <c r="M36" s="2878"/>
    </row>
    <row r="37" spans="1:18" ht="18" customHeight="1">
      <c r="A37" s="1093" t="s">
        <v>862</v>
      </c>
      <c r="B37" s="307" t="s">
        <v>1177</v>
      </c>
      <c r="C37" s="24">
        <f ca="1">ROUND(C13*F37,1)</f>
        <v>299</v>
      </c>
      <c r="D37" s="1478" t="s">
        <v>1178</v>
      </c>
      <c r="E37" s="307" t="s">
        <v>1179</v>
      </c>
      <c r="F37" s="335">
        <f ca="1">INDIRECT("'数据-取费表'!Al"&amp;$G$1)</f>
        <v>2E-3</v>
      </c>
      <c r="G37" s="1518"/>
      <c r="H37" s="2878"/>
      <c r="I37" s="1532"/>
      <c r="J37" s="1533"/>
      <c r="K37" s="2719"/>
      <c r="L37" s="2878"/>
      <c r="M37" s="2878"/>
    </row>
    <row r="38" spans="1:18" ht="18" customHeight="1" thickBot="1">
      <c r="A38" s="1201" t="s">
        <v>1117</v>
      </c>
      <c r="B38" s="1202" t="s">
        <v>1163</v>
      </c>
      <c r="C38" s="1203">
        <f ca="1">ROUND(C5*F38,1)</f>
        <v>476</v>
      </c>
      <c r="D38" s="1204" t="s">
        <v>1183</v>
      </c>
      <c r="E38" s="1202" t="s">
        <v>1179</v>
      </c>
      <c r="F38" s="1198">
        <f ca="1">INDIRECT("'数据-取费表'!Am"&amp;$G$1)</f>
        <v>0.02</v>
      </c>
      <c r="G38" s="1518"/>
      <c r="H38" s="2878"/>
      <c r="I38" s="1532"/>
      <c r="J38" s="1533"/>
      <c r="K38" s="2882"/>
      <c r="L38" s="2878"/>
      <c r="M38" s="2878"/>
    </row>
    <row r="39" spans="1:18" ht="24.6" customHeight="1" thickTop="1">
      <c r="A39" s="1191" t="s">
        <v>818</v>
      </c>
      <c r="B39" s="1206" t="s">
        <v>1207</v>
      </c>
      <c r="C39" s="315">
        <f ca="1">C5-C30</f>
        <v>16536</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306746</v>
      </c>
      <c r="D40" s="329" t="s">
        <v>1193</v>
      </c>
      <c r="E40" s="307" t="s">
        <v>1194</v>
      </c>
      <c r="F40" s="317">
        <f ca="1">INDIRECT("'数据-取费表'!I"&amp;$G$1)</f>
        <v>0.06</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28.32</v>
      </c>
      <c r="G41" s="1518"/>
      <c r="H41" s="1305"/>
      <c r="I41" s="1532"/>
      <c r="J41" s="1533"/>
      <c r="K41" s="2719"/>
      <c r="L41" s="1305"/>
      <c r="M41" s="1305"/>
    </row>
    <row r="42" spans="1:18" ht="18" customHeight="1">
      <c r="A42" s="313"/>
      <c r="B42" s="314"/>
      <c r="C42" s="315"/>
      <c r="D42" s="332"/>
      <c r="E42" s="307" t="s">
        <v>1201</v>
      </c>
      <c r="F42" s="317">
        <f ca="1">INDIRECT("'数据-取费表'!v"&amp;$G$1)</f>
        <v>0.03</v>
      </c>
      <c r="G42" s="1518"/>
      <c r="H42" s="1305"/>
      <c r="I42" s="1532"/>
      <c r="J42" s="1533"/>
      <c r="K42" s="2719"/>
      <c r="L42" s="1305"/>
      <c r="M42" s="1305"/>
    </row>
    <row r="43" spans="1:18" ht="18" customHeight="1" thickBot="1">
      <c r="A43" s="339" t="s">
        <v>820</v>
      </c>
      <c r="B43" s="340" t="s">
        <v>1211</v>
      </c>
      <c r="C43" s="341">
        <f ca="1">ROUND(C40*10000/F43,0)</f>
        <v>15865</v>
      </c>
      <c r="D43" s="342" t="s">
        <v>1212</v>
      </c>
      <c r="E43" s="343" t="s">
        <v>1213</v>
      </c>
      <c r="F43" s="344">
        <f ca="1">INDIRECT("'数据-取费表'!k"&amp;$G$1)</f>
        <v>193344.75</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-534799</v>
      </c>
      <c r="D46" s="1540" t="str">
        <f>C2</f>
        <v>万元</v>
      </c>
      <c r="E46" s="1534"/>
      <c r="F46" s="1534"/>
      <c r="I46" s="1541" t="s">
        <v>1245</v>
      </c>
      <c r="J46" s="1542"/>
      <c r="K46" s="1543"/>
      <c r="L46" s="1544">
        <f ca="1">IF(M47="住宅",0,IF(L48&gt;J51,L60,J60))</f>
        <v>7807</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3194</v>
      </c>
      <c r="K47" s="1550" t="s">
        <v>1251</v>
      </c>
      <c r="L47" s="1551">
        <f ca="1">INDIRECT("'数据-取费表'!d"&amp;$G$1)</f>
        <v>40</v>
      </c>
      <c r="M47" s="1514" t="str">
        <f>IF(ISNUMBER(FIND("住宅",C1)),"住宅","非住宅")</f>
        <v>非住宅</v>
      </c>
      <c r="O47" s="1552" t="s">
        <v>827</v>
      </c>
      <c r="P47" s="1553" t="s">
        <v>1252</v>
      </c>
      <c r="Q47" s="1554">
        <f ca="1">C40+J29</f>
        <v>306746</v>
      </c>
      <c r="R47" s="1554" t="s">
        <v>1253</v>
      </c>
    </row>
    <row r="48" spans="1:18" s="1518" customFormat="1" ht="28.5" thickBot="1">
      <c r="A48" s="1222" t="s">
        <v>863</v>
      </c>
      <c r="B48" s="305" t="s">
        <v>1125</v>
      </c>
      <c r="C48" s="1493">
        <f ca="1">C49+C53+C55</f>
        <v>0</v>
      </c>
      <c r="D48" s="1224"/>
      <c r="E48" s="1225"/>
      <c r="F48" s="1073"/>
      <c r="G48" s="730"/>
      <c r="H48" s="731"/>
      <c r="I48" s="1555" t="s">
        <v>1254</v>
      </c>
      <c r="J48" s="1556" t="s">
        <v>3195</v>
      </c>
      <c r="K48" s="1557" t="s">
        <v>1255</v>
      </c>
      <c r="L48" s="1558">
        <f ca="1">INDIRECT("'数据-取费表'!f"&amp;$G$1)</f>
        <v>28.32</v>
      </c>
      <c r="O48" s="1552" t="s">
        <v>828</v>
      </c>
      <c r="P48" s="1553" t="s">
        <v>1256</v>
      </c>
      <c r="Q48" s="1554">
        <f ca="1">J60</f>
        <v>7807</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2015</v>
      </c>
      <c r="K49" s="1557" t="s">
        <v>1259</v>
      </c>
      <c r="L49" s="1561"/>
      <c r="O49" s="1562" t="s">
        <v>829</v>
      </c>
      <c r="P49" s="1553" t="s">
        <v>1260</v>
      </c>
      <c r="Q49" s="1554">
        <f ca="1">C29</f>
        <v>167956</v>
      </c>
      <c r="R49" s="1554" t="s">
        <v>1253</v>
      </c>
    </row>
    <row r="50" spans="1:18" s="1518" customFormat="1" ht="13.5" thickBot="1">
      <c r="A50" s="1087"/>
      <c r="B50" s="1090"/>
      <c r="C50" s="1230"/>
      <c r="D50" s="1064"/>
      <c r="E50" s="1167" t="s">
        <v>1130</v>
      </c>
      <c r="F50" s="1168">
        <f ca="1">F7</f>
        <v>144719.51</v>
      </c>
      <c r="H50" s="731"/>
      <c r="I50" s="1555" t="s">
        <v>1261</v>
      </c>
      <c r="J50" s="1563">
        <f>SUMPRODUCT((I63:I65=J47)*(J62:L62=J48)*(J63:L65))</f>
        <v>60</v>
      </c>
      <c r="K50" s="1557" t="s">
        <v>1262</v>
      </c>
      <c r="L50" s="1561"/>
      <c r="M50" s="1564"/>
      <c r="O50" s="1562" t="s">
        <v>830</v>
      </c>
      <c r="P50" s="1553" t="s">
        <v>1263</v>
      </c>
      <c r="Q50" s="1565">
        <f ca="1">J58</f>
        <v>0.41099999999999998</v>
      </c>
      <c r="R50" s="1554"/>
    </row>
    <row r="51" spans="1:18" s="1518" customFormat="1" ht="13.5" thickBot="1">
      <c r="A51" s="1088"/>
      <c r="B51" s="1090"/>
      <c r="C51" s="1091"/>
      <c r="D51" s="1064"/>
      <c r="E51" s="1092" t="s">
        <v>1131</v>
      </c>
      <c r="F51" s="308">
        <f ca="1">F8</f>
        <v>365</v>
      </c>
      <c r="I51" s="1566" t="s">
        <v>1264</v>
      </c>
      <c r="J51" s="1567">
        <f>IF(J49="",J50,J49+J50-YEAR('数据-取费表'!B2))</f>
        <v>53</v>
      </c>
      <c r="K51" s="1568" t="s">
        <v>1265</v>
      </c>
      <c r="L51" s="1569">
        <f ca="1">ROUND(-PV(INDIRECT("'数据-取费表'!h"&amp;$G$1),J51,(C39-C13*C76),0),0)</f>
        <v>91147</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f>'数据-取费表'!J6+0.5%</f>
        <v>0.08</v>
      </c>
      <c r="K52" s="1571" t="s">
        <v>1268</v>
      </c>
      <c r="L52" s="1572"/>
      <c r="O52" s="1562" t="s">
        <v>832</v>
      </c>
      <c r="P52" s="1553" t="s">
        <v>1269</v>
      </c>
      <c r="Q52" s="1554">
        <f ca="1">J53</f>
        <v>28.32</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28.32</v>
      </c>
      <c r="K53" s="3435" t="s">
        <v>1272</v>
      </c>
      <c r="L53" s="3436"/>
      <c r="O53" s="1552" t="s">
        <v>833</v>
      </c>
      <c r="P53" s="1553" t="s">
        <v>1273</v>
      </c>
      <c r="Q53" s="1554">
        <f ca="1">Q47+Q48</f>
        <v>314553</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0.41099999999999998</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149481</v>
      </c>
      <c r="D56" s="1581"/>
      <c r="E56" s="1582"/>
      <c r="F56" s="1574"/>
      <c r="I56" s="1583" t="s">
        <v>1278</v>
      </c>
      <c r="J56" s="1584" t="s">
        <v>3196</v>
      </c>
      <c r="K56" s="1555" t="s">
        <v>1279</v>
      </c>
      <c r="L56" s="1558" t="str">
        <f ca="1">IF(L48&lt;J51,"——",L48-J53)</f>
        <v>——</v>
      </c>
      <c r="O56" s="1552" t="s">
        <v>827</v>
      </c>
      <c r="P56" s="1553" t="s">
        <v>1252</v>
      </c>
      <c r="Q56" s="1554">
        <f ca="1">C40+J29</f>
        <v>306746</v>
      </c>
      <c r="R56" s="1554" t="s">
        <v>1253</v>
      </c>
    </row>
    <row r="57" spans="1:18" s="1518" customFormat="1" ht="24.75" thickBot="1">
      <c r="A57" s="1585"/>
      <c r="B57" s="1061" t="s">
        <v>1202</v>
      </c>
      <c r="C57" s="243">
        <f ca="1">C29</f>
        <v>167956</v>
      </c>
      <c r="D57" s="1586"/>
      <c r="E57" s="1587"/>
      <c r="F57" s="1588"/>
      <c r="I57" s="1589" t="s">
        <v>1280</v>
      </c>
      <c r="J57" s="1590">
        <f ca="1">IF(OR(M47="住宅",J51&lt;L48,J56="是"),"——",J51-L48)</f>
        <v>24.68</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16935</v>
      </c>
      <c r="D58" s="1071" t="s">
        <v>1149</v>
      </c>
      <c r="E58" s="1072"/>
      <c r="F58" s="1073"/>
      <c r="I58" s="1589" t="s">
        <v>1284</v>
      </c>
      <c r="J58" s="1591">
        <f ca="1">IF(J55&lt;0.4,0.4,J55)</f>
        <v>0.41099999999999998</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14117</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69030</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5.5000000000000007E-2</v>
      </c>
      <c r="I60" s="1592" t="s">
        <v>1289</v>
      </c>
      <c r="J60" s="1593">
        <f ca="1">IF(OR(M47="住宅",J51&lt;L48,J56="是"),"0",ROUND(J59/(1+J52)^J53,0))</f>
        <v>7807</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14108.3</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8.2799999999999994</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306746</v>
      </c>
      <c r="R62" s="1554" t="s">
        <v>834</v>
      </c>
    </row>
    <row r="63" spans="1:18" s="1518" customFormat="1" ht="13.5" thickBot="1">
      <c r="A63" s="331"/>
      <c r="B63" s="1067"/>
      <c r="C63" s="29"/>
      <c r="D63" s="1077"/>
      <c r="E63" s="1061" t="s">
        <v>1223</v>
      </c>
      <c r="F63" s="308">
        <f t="shared" ca="1" si="0"/>
        <v>55191.78</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2519.3000000000002</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299</v>
      </c>
      <c r="D65" s="1075" t="s">
        <v>1178</v>
      </c>
      <c r="E65" s="1061" t="s">
        <v>1179</v>
      </c>
      <c r="F65" s="335">
        <f t="shared" ca="1" si="0"/>
        <v>2E-3</v>
      </c>
      <c r="I65" s="1596" t="s">
        <v>1303</v>
      </c>
      <c r="J65" s="1597">
        <v>40</v>
      </c>
      <c r="K65" s="1597">
        <v>30</v>
      </c>
      <c r="L65" s="1597">
        <v>50</v>
      </c>
      <c r="M65" s="1599">
        <v>0.02</v>
      </c>
      <c r="O65" s="1552" t="s">
        <v>827</v>
      </c>
      <c r="P65" s="1553" t="s">
        <v>1304</v>
      </c>
      <c r="Q65" s="1554">
        <f ca="1">C40+J29</f>
        <v>306746</v>
      </c>
      <c r="R65" s="1554" t="s">
        <v>1253</v>
      </c>
    </row>
    <row r="66" spans="1:18" s="1518" customFormat="1" ht="16.5" thickBot="1">
      <c r="A66" s="1093" t="s">
        <v>1228</v>
      </c>
      <c r="B66" s="1061" t="s">
        <v>1163</v>
      </c>
      <c r="C66" s="24">
        <f ca="1">ROUND(C48*F66,1)</f>
        <v>0</v>
      </c>
      <c r="D66" s="1075" t="s">
        <v>1229</v>
      </c>
      <c r="E66" s="1061" t="s">
        <v>1146</v>
      </c>
      <c r="F66" s="317">
        <f t="shared" ca="1" si="0"/>
        <v>0.02</v>
      </c>
      <c r="O66" s="1552" t="s">
        <v>828</v>
      </c>
      <c r="P66" s="1553" t="s">
        <v>1282</v>
      </c>
      <c r="Q66" s="1554">
        <f ca="1">L60</f>
        <v>0</v>
      </c>
      <c r="R66" s="1554" t="s">
        <v>1305</v>
      </c>
    </row>
    <row r="67" spans="1:18" s="1518" customFormat="1" ht="16.5" thickBot="1">
      <c r="A67" s="1068" t="s">
        <v>818</v>
      </c>
      <c r="B67" s="1078" t="s">
        <v>1187</v>
      </c>
      <c r="C67" s="321">
        <f ca="1">C48-C58</f>
        <v>-16935</v>
      </c>
      <c r="D67" s="1074" t="s">
        <v>1188</v>
      </c>
      <c r="E67" s="1079"/>
      <c r="F67" s="1080"/>
      <c r="O67" s="1562" t="s">
        <v>829</v>
      </c>
      <c r="P67" s="1553" t="s">
        <v>1286</v>
      </c>
      <c r="Q67" s="1600">
        <f ca="1">L51</f>
        <v>91147</v>
      </c>
      <c r="R67" s="1554" t="s">
        <v>1306</v>
      </c>
    </row>
    <row r="68" spans="1:18" s="1518" customFormat="1" ht="16.5" thickBot="1">
      <c r="A68" s="1058" t="s">
        <v>819</v>
      </c>
      <c r="B68" s="1059" t="s">
        <v>1209</v>
      </c>
      <c r="C68" s="306">
        <f ca="1">ROUND(C67*(1-((1+F70)/(1+F68))^F69)/(F68-F70),0)</f>
        <v>-228053</v>
      </c>
      <c r="D68" s="1076" t="s">
        <v>1193</v>
      </c>
      <c r="E68" s="1061" t="s">
        <v>1194</v>
      </c>
      <c r="F68" s="317">
        <f ca="1">F40</f>
        <v>0.06</v>
      </c>
      <c r="O68" s="1562" t="s">
        <v>830</v>
      </c>
      <c r="P68" s="1601" t="s">
        <v>1307</v>
      </c>
      <c r="Q68" s="1554">
        <f ca="1">ROUND(Q69-Q70*Q71,0)</f>
        <v>5325</v>
      </c>
      <c r="R68" s="1554" t="s">
        <v>838</v>
      </c>
    </row>
    <row r="69" spans="1:18" s="1518" customFormat="1" ht="13.5" thickBot="1">
      <c r="A69" s="1062"/>
      <c r="B69" s="1063"/>
      <c r="C69" s="311"/>
      <c r="D69" s="1081" t="s">
        <v>1197</v>
      </c>
      <c r="E69" s="1061" t="s">
        <v>1198</v>
      </c>
      <c r="F69" s="338">
        <f ca="1">F41</f>
        <v>28.32</v>
      </c>
      <c r="O69" s="1562" t="s">
        <v>835</v>
      </c>
      <c r="P69" s="1601" t="s">
        <v>1308</v>
      </c>
      <c r="Q69" s="1554">
        <f ca="1">C39</f>
        <v>16536</v>
      </c>
      <c r="R69" s="1554" t="s">
        <v>1253</v>
      </c>
    </row>
    <row r="70" spans="1:18" s="1518" customFormat="1" ht="13.5" thickBot="1">
      <c r="A70" s="1065"/>
      <c r="B70" s="1066"/>
      <c r="C70" s="315"/>
      <c r="D70" s="1077"/>
      <c r="E70" s="1061" t="s">
        <v>1201</v>
      </c>
      <c r="F70" s="1165"/>
      <c r="O70" s="1562" t="s">
        <v>836</v>
      </c>
      <c r="P70" s="1601" t="s">
        <v>1309</v>
      </c>
      <c r="Q70" s="1554">
        <f ca="1">C13</f>
        <v>149481</v>
      </c>
      <c r="R70" s="1554" t="s">
        <v>1253</v>
      </c>
    </row>
    <row r="71" spans="1:18" s="1518" customFormat="1" ht="13.5" thickBot="1">
      <c r="A71" s="1082" t="s">
        <v>820</v>
      </c>
      <c r="B71" s="1083" t="s">
        <v>1211</v>
      </c>
      <c r="C71" s="341">
        <f ca="1">ROUND(C68*10000/F71,0)</f>
        <v>-11795</v>
      </c>
      <c r="D71" s="1084" t="s">
        <v>1212</v>
      </c>
      <c r="E71" s="1085" t="s">
        <v>1213</v>
      </c>
      <c r="F71" s="344">
        <f ca="1">F43</f>
        <v>193344.75</v>
      </c>
      <c r="O71" s="1562" t="s">
        <v>837</v>
      </c>
      <c r="P71" s="1601" t="s">
        <v>1310</v>
      </c>
      <c r="Q71" s="1565">
        <f ca="1">C76</f>
        <v>7.4999999999999997E-2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11211</v>
      </c>
      <c r="D75" s="1518"/>
      <c r="E75" s="1518"/>
      <c r="F75" s="1518"/>
      <c r="K75" s="1536"/>
      <c r="L75" s="1518"/>
      <c r="O75" s="1552" t="s">
        <v>833</v>
      </c>
      <c r="P75" s="1553" t="s">
        <v>1273</v>
      </c>
      <c r="Q75" s="1554">
        <f ca="1">Q65+Q66</f>
        <v>306746</v>
      </c>
      <c r="R75" s="1554" t="s">
        <v>834</v>
      </c>
    </row>
    <row r="76" spans="1:18">
      <c r="B76" s="347" t="s">
        <v>1231</v>
      </c>
      <c r="C76" s="348">
        <f ca="1">INDIRECT("'数据-取费表'!j"&amp;$G$1)</f>
        <v>7.4999999999999997E-2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0.32199999999999995</v>
      </c>
    </row>
    <row r="80" spans="1:18">
      <c r="B80" s="345" t="s">
        <v>1235</v>
      </c>
      <c r="C80" s="279">
        <f ca="1">ROUND(C75/C39,3)</f>
        <v>0.67800000000000005</v>
      </c>
    </row>
    <row r="81" spans="2:3">
      <c r="B81" s="275" t="s">
        <v>1236</v>
      </c>
      <c r="C81" s="243"/>
    </row>
    <row r="82" spans="2:3">
      <c r="B82" s="278" t="s">
        <v>1237</v>
      </c>
      <c r="C82" s="280">
        <f ca="1">1-C83</f>
        <v>0.51300000000000001</v>
      </c>
    </row>
    <row r="83" spans="2:3">
      <c r="B83" s="278" t="s">
        <v>1238</v>
      </c>
      <c r="C83" s="279">
        <f ca="1">ROUND(C13/C40,3)</f>
        <v>0.48699999999999999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37" t="s">
        <v>1127</v>
      </c>
      <c r="C6" s="1186">
        <f ca="1">ROUND(F6*F8*F7*(1-F9),0)</f>
        <v>0</v>
      </c>
      <c r="D6" s="159" t="s">
        <v>2606</v>
      </c>
      <c r="E6" s="307" t="s">
        <v>1129</v>
      </c>
      <c r="F6" s="308">
        <f ca="1">INDIRECT("'数据-取费表'!u"&amp;$G$1)</f>
        <v>0</v>
      </c>
      <c r="G6" s="1518"/>
      <c r="H6" s="1181" t="s">
        <v>822</v>
      </c>
      <c r="I6" s="3437" t="s">
        <v>1127</v>
      </c>
      <c r="J6" s="306">
        <f ca="1">ROUND(M6*M8*M7*(1-M9),0)</f>
        <v>0</v>
      </c>
      <c r="K6" s="1510" t="s">
        <v>2607</v>
      </c>
      <c r="L6" s="307" t="s">
        <v>1129</v>
      </c>
      <c r="M6" s="308">
        <f ca="1">INDIRECT("'数据-取费表'!z"&amp;$G$1)</f>
        <v>0</v>
      </c>
    </row>
    <row r="7" spans="1:37" ht="18" customHeight="1">
      <c r="A7" s="1185"/>
      <c r="B7" s="3438"/>
      <c r="C7" s="1187"/>
      <c r="D7" s="312"/>
      <c r="E7" s="1188" t="s">
        <v>1130</v>
      </c>
      <c r="F7" s="308">
        <f ca="1">IF(INDIRECT("'数据-取费表'!ah"&amp;$G$1)="",INDIRECT("'数据-取费表'!k"&amp;$G$1),INDIRECT("'数据-取费表'!ah"&amp;$G$1))</f>
        <v>0</v>
      </c>
      <c r="G7" s="1518"/>
      <c r="H7" s="309"/>
      <c r="I7" s="3438"/>
      <c r="J7" s="311"/>
      <c r="K7" s="312"/>
      <c r="L7" s="307" t="s">
        <v>1130</v>
      </c>
      <c r="M7" s="308">
        <f ca="1">F7</f>
        <v>0</v>
      </c>
    </row>
    <row r="8" spans="1:37" ht="18" customHeight="1">
      <c r="A8" s="309"/>
      <c r="B8" s="3438"/>
      <c r="C8" s="311"/>
      <c r="D8" s="312"/>
      <c r="E8" s="307" t="s">
        <v>1131</v>
      </c>
      <c r="F8" s="308">
        <f ca="1">INDIRECT("'数据-取费表'!ai"&amp;$G$1)</f>
        <v>0</v>
      </c>
      <c r="G8" s="1518"/>
      <c r="H8" s="309"/>
      <c r="I8" s="3438"/>
      <c r="J8" s="311"/>
      <c r="K8" s="312"/>
      <c r="L8" s="307" t="s">
        <v>1131</v>
      </c>
      <c r="M8" s="308">
        <f ca="1">INDIRECT("'数据-取费表'!ai"&amp;$G$1)</f>
        <v>0</v>
      </c>
    </row>
    <row r="9" spans="1:37" ht="18" customHeight="1">
      <c r="A9" s="309"/>
      <c r="B9" s="3439"/>
      <c r="C9" s="311"/>
      <c r="D9" s="312"/>
      <c r="E9" s="307" t="s">
        <v>1132</v>
      </c>
      <c r="F9" s="317">
        <f ca="1">INDIRECT("'数据-取费表'!w"&amp;$G$1)</f>
        <v>0</v>
      </c>
      <c r="G9" s="1518"/>
      <c r="H9" s="309"/>
      <c r="I9" s="3439"/>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0.03</v>
      </c>
      <c r="G20" s="1530"/>
      <c r="H20" s="1093" t="s">
        <v>1113</v>
      </c>
      <c r="I20" s="159" t="s">
        <v>1165</v>
      </c>
      <c r="J20" s="25">
        <f ca="1">ROUND(M20*M21,0)</f>
        <v>0</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0.03</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3</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4">
        <f ca="1">IF(项目基本情况!B11="自然人","——",ROUND(C6*F32/(1+'数据-取费表'!C42),0))</f>
        <v>0</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5">
        <f ca="1">IF(项目基本情况!B11="自然人","——",ROUND(F34*F35,))</f>
        <v>0</v>
      </c>
      <c r="D34" s="329" t="s">
        <v>1166</v>
      </c>
      <c r="E34" s="307" t="s">
        <v>1167</v>
      </c>
      <c r="F34" s="330">
        <f>'数据-取费表'!B52</f>
        <v>1.5</v>
      </c>
      <c r="G34" s="1518"/>
      <c r="H34" s="2875"/>
      <c r="I34" s="1532"/>
      <c r="J34" s="1533"/>
      <c r="K34" s="2880"/>
      <c r="L34" s="2881"/>
      <c r="M34" s="2881"/>
    </row>
    <row r="35" spans="1:18" ht="18" customHeight="1">
      <c r="A35" s="1215"/>
      <c r="B35" s="1213"/>
      <c r="C35" s="29"/>
      <c r="D35" s="332"/>
      <c r="E35" s="307" t="s">
        <v>1171</v>
      </c>
      <c r="F35" s="308">
        <f ca="1">INDIRECT("'数据-取费表'!r"&amp;$G$1)</f>
        <v>0</v>
      </c>
      <c r="G35" s="1518"/>
      <c r="H35" s="2875"/>
      <c r="I35" s="1532"/>
      <c r="J35" s="1533"/>
      <c r="K35" s="2879"/>
      <c r="L35" s="2878"/>
      <c r="M35" s="2878"/>
    </row>
    <row r="36" spans="1:18" ht="18" customHeight="1">
      <c r="A36" s="1214" t="s">
        <v>826</v>
      </c>
      <c r="B36" s="307" t="s">
        <v>1173</v>
      </c>
      <c r="C36" s="24">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4">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435" t="s">
        <v>1272</v>
      </c>
      <c r="L53" s="3436"/>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19" t="s">
        <v>2820</v>
      </c>
      <c r="B2" s="3023" t="e">
        <f>C40</f>
        <v>#DIV/0!</v>
      </c>
      <c r="C2" s="3024" t="s">
        <v>2821</v>
      </c>
      <c r="D2" s="3024"/>
      <c r="E2" s="3025"/>
      <c r="F2" s="3026"/>
      <c r="G2" s="3027"/>
      <c r="H2" s="3028"/>
      <c r="I2" s="3029"/>
      <c r="J2" s="3446" t="s">
        <v>2822</v>
      </c>
      <c r="K2" s="3447"/>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48" t="s">
        <v>2832</v>
      </c>
      <c r="K3" s="3449"/>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48" t="s">
        <v>2834</v>
      </c>
      <c r="K4" s="3449"/>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54" t="s">
        <v>2838</v>
      </c>
      <c r="B6" s="3455"/>
      <c r="C6" s="3456"/>
      <c r="D6" s="3050"/>
      <c r="E6" s="3051"/>
      <c r="F6" s="3052"/>
      <c r="G6" s="3053"/>
      <c r="H6" s="3028"/>
      <c r="I6" s="3029"/>
      <c r="J6" s="3440">
        <v>1</v>
      </c>
      <c r="K6" s="3441"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40"/>
      <c r="K7" s="3442"/>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57" t="s">
        <v>2852</v>
      </c>
      <c r="C8" s="3458"/>
      <c r="D8" s="3069" t="s">
        <v>2853</v>
      </c>
      <c r="E8" s="3070" t="s">
        <v>2854</v>
      </c>
      <c r="F8" s="3071" t="s">
        <v>2855</v>
      </c>
      <c r="G8" s="3072"/>
      <c r="H8" s="3028"/>
      <c r="I8" s="3029"/>
      <c r="J8" s="3440"/>
      <c r="K8" s="3442"/>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57" t="s">
        <v>2858</v>
      </c>
      <c r="C9" s="3458"/>
      <c r="D9" s="3069">
        <f>ROUND(D6*E9,0)</f>
        <v>0</v>
      </c>
      <c r="E9" s="3073"/>
      <c r="F9" s="3074" t="s">
        <v>2859</v>
      </c>
      <c r="G9" s="3053"/>
      <c r="H9" s="3028"/>
      <c r="I9" s="3029"/>
      <c r="J9" s="3440"/>
      <c r="K9" s="3442"/>
      <c r="L9" s="3063" t="s">
        <v>2860</v>
      </c>
      <c r="M9" s="3064"/>
      <c r="N9" s="3040"/>
      <c r="O9" s="3065"/>
      <c r="P9" s="3065"/>
      <c r="Q9" s="3066">
        <v>365</v>
      </c>
      <c r="R9" s="3067">
        <f t="shared" si="0"/>
        <v>0</v>
      </c>
      <c r="S9" s="3021"/>
      <c r="T9" s="3021"/>
      <c r="U9" s="3021"/>
      <c r="V9" s="3029"/>
    </row>
    <row r="10" spans="1:22" s="3033" customFormat="1" ht="13.15" customHeight="1">
      <c r="A10" s="3068">
        <v>2</v>
      </c>
      <c r="B10" s="3457" t="s">
        <v>2861</v>
      </c>
      <c r="C10" s="3458"/>
      <c r="D10" s="3069">
        <f>ROUND(D6*E10,0)</f>
        <v>0</v>
      </c>
      <c r="E10" s="3073"/>
      <c r="F10" s="3074" t="s">
        <v>2862</v>
      </c>
      <c r="G10" s="3053"/>
      <c r="H10" s="3028"/>
      <c r="I10" s="3029"/>
      <c r="J10" s="3440"/>
      <c r="K10" s="3442"/>
      <c r="L10" s="3063" t="s">
        <v>2863</v>
      </c>
      <c r="M10" s="3064"/>
      <c r="N10" s="3040"/>
      <c r="O10" s="3065"/>
      <c r="P10" s="3065"/>
      <c r="Q10" s="3066">
        <v>365</v>
      </c>
      <c r="R10" s="3067">
        <f t="shared" si="0"/>
        <v>0</v>
      </c>
      <c r="S10" s="3021"/>
      <c r="T10" s="3021"/>
      <c r="U10" s="3021"/>
      <c r="V10" s="3029"/>
    </row>
    <row r="11" spans="1:22" s="3033" customFormat="1" ht="13.15" customHeight="1">
      <c r="A11" s="3068">
        <v>3</v>
      </c>
      <c r="B11" s="3457" t="s">
        <v>2864</v>
      </c>
      <c r="C11" s="3458"/>
      <c r="D11" s="3069">
        <f>D12+D14+D15+D16</f>
        <v>0</v>
      </c>
      <c r="E11" s="3075" t="e">
        <f>D11/D6</f>
        <v>#DIV/0!</v>
      </c>
      <c r="F11" s="3071"/>
      <c r="G11" s="3072"/>
      <c r="H11" s="3028"/>
      <c r="I11" s="3029"/>
      <c r="J11" s="3440"/>
      <c r="K11" s="3442"/>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50" t="s">
        <v>2867</v>
      </c>
      <c r="C12" s="3451"/>
      <c r="D12" s="3077">
        <f>ROUND(D13*1.2%*(1-30%),0)</f>
        <v>0</v>
      </c>
      <c r="E12" s="3078">
        <v>1.2E-2</v>
      </c>
      <c r="F12" s="3071" t="s">
        <v>2868</v>
      </c>
      <c r="G12" s="3072"/>
      <c r="H12" s="3028"/>
      <c r="I12" s="3029"/>
      <c r="J12" s="3440"/>
      <c r="K12" s="3442"/>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40"/>
      <c r="K13" s="3442"/>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50" t="s">
        <v>2873</v>
      </c>
      <c r="C14" s="3451"/>
      <c r="D14" s="3077">
        <f>ROUND(E14*B5/10000,0)</f>
        <v>0</v>
      </c>
      <c r="E14" s="3066"/>
      <c r="F14" s="3071" t="s">
        <v>2874</v>
      </c>
      <c r="G14" s="3072"/>
      <c r="H14" s="3028"/>
      <c r="I14" s="3029"/>
      <c r="J14" s="3440"/>
      <c r="K14" s="3443"/>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50" t="s">
        <v>2877</v>
      </c>
      <c r="C15" s="3451"/>
      <c r="D15" s="3077">
        <f>ROUND(D6*E15,0)</f>
        <v>0</v>
      </c>
      <c r="E15" s="3078">
        <v>5.5E-2</v>
      </c>
      <c r="F15" s="3071" t="s">
        <v>2878</v>
      </c>
      <c r="G15" s="3053"/>
      <c r="H15" s="3028"/>
      <c r="I15" s="3029"/>
      <c r="J15" s="3440">
        <v>2</v>
      </c>
      <c r="K15" s="3441"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50" t="s">
        <v>2886</v>
      </c>
      <c r="C16" s="3451"/>
      <c r="D16" s="3088">
        <f>D6*E16</f>
        <v>0</v>
      </c>
      <c r="E16" s="3089"/>
      <c r="F16" s="3074" t="s">
        <v>2887</v>
      </c>
      <c r="G16" s="3053"/>
      <c r="H16" s="3028"/>
      <c r="I16" s="3029"/>
      <c r="J16" s="3440"/>
      <c r="K16" s="3442"/>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52" t="s">
        <v>2889</v>
      </c>
      <c r="C17" s="3453"/>
      <c r="D17" s="3091">
        <f>ROUND(D6*E17,0)</f>
        <v>0</v>
      </c>
      <c r="E17" s="3092"/>
      <c r="F17" s="3093" t="s">
        <v>2890</v>
      </c>
      <c r="G17" s="3053"/>
      <c r="H17" s="3028"/>
      <c r="I17" s="3029"/>
      <c r="J17" s="3440"/>
      <c r="K17" s="3442"/>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40"/>
      <c r="K18" s="3442"/>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40"/>
      <c r="K19" s="3443"/>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40">
        <v>3</v>
      </c>
      <c r="K20" s="3441"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40"/>
      <c r="K21" s="3442"/>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40"/>
      <c r="K22" s="3442"/>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40"/>
      <c r="K23" s="3442"/>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40"/>
      <c r="K24" s="3443"/>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44">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45"/>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46" t="s">
        <v>2822</v>
      </c>
      <c r="K32" s="3447"/>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48" t="s">
        <v>2832</v>
      </c>
      <c r="K33" s="3449"/>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48" t="s">
        <v>2834</v>
      </c>
      <c r="K34" s="3449"/>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40">
        <v>1</v>
      </c>
      <c r="K36" s="3441"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40"/>
      <c r="K37" s="3442"/>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40"/>
      <c r="K38" s="3442"/>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40"/>
      <c r="K39" s="3442"/>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40"/>
      <c r="K40" s="3443"/>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44">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45"/>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314553</v>
      </c>
      <c r="C2" s="2008" t="s">
        <v>2099</v>
      </c>
      <c r="D2" s="2009" t="s">
        <v>2100</v>
      </c>
      <c r="E2" s="2782">
        <f>SUM(E6:E13)</f>
        <v>210956.06</v>
      </c>
      <c r="F2" s="2885"/>
      <c r="G2" s="1624"/>
      <c r="H2" s="1624"/>
      <c r="I2" s="1624"/>
      <c r="J2" s="1624"/>
      <c r="K2" s="1624"/>
      <c r="L2" s="1624"/>
      <c r="M2" s="1624"/>
      <c r="N2" s="1624"/>
      <c r="O2" s="1624"/>
      <c r="P2" s="1624"/>
      <c r="Q2" s="1624"/>
      <c r="R2" s="1624"/>
      <c r="S2" s="1624"/>
    </row>
    <row r="3" spans="1:22" ht="15.75">
      <c r="A3" s="2006" t="s">
        <v>1119</v>
      </c>
      <c r="B3" s="2776">
        <f ca="1">ROUND(B2*10000/E2,0)</f>
        <v>14911</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59" t="s">
        <v>2102</v>
      </c>
      <c r="C5" s="3460"/>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314553</v>
      </c>
      <c r="C6" s="2008" t="s">
        <v>2099</v>
      </c>
      <c r="D6" s="2887"/>
      <c r="E6" s="2781">
        <f>IF(OR(A6=0,F6="否"),0,'数据-取费表'!K6+'数据-取费表'!S6)</f>
        <v>210956.06</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210956.06</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479" t="s">
        <v>2116</v>
      </c>
      <c r="D4" s="3480"/>
      <c r="E4" s="3481" t="s">
        <v>2117</v>
      </c>
      <c r="F4" s="3482"/>
      <c r="G4" s="3479" t="s">
        <v>2118</v>
      </c>
      <c r="H4" s="3480"/>
      <c r="I4" s="3479" t="s">
        <v>2119</v>
      </c>
      <c r="J4" s="3480"/>
      <c r="K4" s="2025" t="s">
        <v>2120</v>
      </c>
      <c r="L4" s="2893"/>
      <c r="M4" s="2894"/>
      <c r="N4" s="2894"/>
      <c r="O4" s="2894"/>
      <c r="P4" s="3483" t="s">
        <v>2121</v>
      </c>
      <c r="Q4" s="3484"/>
      <c r="R4" s="3489" t="s">
        <v>2117</v>
      </c>
      <c r="S4" s="3490"/>
      <c r="T4" s="3489" t="s">
        <v>2118</v>
      </c>
      <c r="U4" s="3490"/>
      <c r="V4" s="3495" t="s">
        <v>2119</v>
      </c>
      <c r="W4" s="3495"/>
      <c r="X4" s="1489"/>
      <c r="Y4" s="3489" t="s">
        <v>2121</v>
      </c>
      <c r="Z4" s="3490"/>
      <c r="AA4" s="3476" t="s">
        <v>2117</v>
      </c>
      <c r="AB4" s="3476" t="s">
        <v>2118</v>
      </c>
      <c r="AC4" s="3476" t="s">
        <v>2119</v>
      </c>
    </row>
    <row r="5" spans="1:29" ht="15">
      <c r="A5" s="363"/>
      <c r="B5" s="364"/>
      <c r="C5" s="3498" t="s">
        <v>2122</v>
      </c>
      <c r="D5" s="3499"/>
      <c r="E5" s="3505" t="s">
        <v>2123</v>
      </c>
      <c r="F5" s="3506"/>
      <c r="G5" s="3498" t="s">
        <v>2124</v>
      </c>
      <c r="H5" s="3499"/>
      <c r="I5" s="3498" t="s">
        <v>2125</v>
      </c>
      <c r="J5" s="3499"/>
      <c r="K5" s="2026"/>
      <c r="L5" s="2893"/>
      <c r="M5" s="2894"/>
      <c r="N5" s="2894"/>
      <c r="O5" s="2894"/>
      <c r="P5" s="3485"/>
      <c r="Q5" s="3486"/>
      <c r="R5" s="3491"/>
      <c r="S5" s="3492"/>
      <c r="T5" s="3491"/>
      <c r="U5" s="3492"/>
      <c r="V5" s="3495"/>
      <c r="W5" s="3495"/>
      <c r="X5" s="1489"/>
      <c r="Y5" s="3491"/>
      <c r="Z5" s="3492"/>
      <c r="AA5" s="3477"/>
      <c r="AB5" s="3477"/>
      <c r="AC5" s="3477"/>
    </row>
    <row r="6" spans="1:29" ht="15.75" thickBot="1">
      <c r="A6" s="365"/>
      <c r="B6" s="366"/>
      <c r="C6" s="3496" t="s">
        <v>2126</v>
      </c>
      <c r="D6" s="3497"/>
      <c r="E6" s="3503" t="s">
        <v>2126</v>
      </c>
      <c r="F6" s="3504"/>
      <c r="G6" s="3496" t="s">
        <v>2126</v>
      </c>
      <c r="H6" s="3497"/>
      <c r="I6" s="3496" t="s">
        <v>2126</v>
      </c>
      <c r="J6" s="3497"/>
      <c r="K6" s="2026" t="s">
        <v>2127</v>
      </c>
      <c r="L6" s="2893"/>
      <c r="M6" s="2894"/>
      <c r="N6" s="2894"/>
      <c r="O6" s="2894"/>
      <c r="P6" s="3487"/>
      <c r="Q6" s="3488"/>
      <c r="R6" s="3491"/>
      <c r="S6" s="3492"/>
      <c r="T6" s="3493"/>
      <c r="U6" s="3494"/>
      <c r="V6" s="3495"/>
      <c r="W6" s="3495"/>
      <c r="X6" s="1489"/>
      <c r="Y6" s="3493"/>
      <c r="Z6" s="3494"/>
      <c r="AA6" s="3478"/>
      <c r="AB6" s="3478"/>
      <c r="AC6" s="3478"/>
    </row>
    <row r="7" spans="1:29" s="112" customFormat="1" ht="15.75" thickBot="1">
      <c r="A7" s="367" t="s">
        <v>2128</v>
      </c>
      <c r="B7" s="368"/>
      <c r="C7" s="369">
        <f>'数据-取费表'!B2</f>
        <v>44823</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500" t="s">
        <v>2129</v>
      </c>
      <c r="Q7" s="3502"/>
      <c r="R7" s="709" t="s">
        <v>23</v>
      </c>
      <c r="S7" s="710">
        <f t="shared" ref="S7:S15" si="0">F7</f>
        <v>0</v>
      </c>
      <c r="T7" s="709" t="s">
        <v>23</v>
      </c>
      <c r="U7" s="710">
        <f t="shared" ref="U7:U15" si="1">H7</f>
        <v>0</v>
      </c>
      <c r="V7" s="709" t="s">
        <v>23</v>
      </c>
      <c r="W7" s="710">
        <f t="shared" ref="W7:W15" si="2">J7</f>
        <v>0</v>
      </c>
      <c r="X7" s="711"/>
      <c r="Y7" s="3500" t="s">
        <v>2129</v>
      </c>
      <c r="Z7" s="3501"/>
      <c r="AA7" s="712" t="e">
        <f>D7/F7</f>
        <v>#DIV/0!</v>
      </c>
      <c r="AB7" s="712" t="e">
        <f>D7/H7</f>
        <v>#DIV/0!</v>
      </c>
      <c r="AC7" s="712" t="e">
        <f>D7/J7</f>
        <v>#DIV/0!</v>
      </c>
    </row>
    <row r="8" spans="1:29" s="112"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500" t="s">
        <v>2132</v>
      </c>
      <c r="Q8" s="3501"/>
      <c r="R8" s="709" t="s">
        <v>23</v>
      </c>
      <c r="S8" s="710">
        <f t="shared" si="0"/>
        <v>0</v>
      </c>
      <c r="T8" s="709" t="s">
        <v>23</v>
      </c>
      <c r="U8" s="710">
        <f t="shared" si="1"/>
        <v>0</v>
      </c>
      <c r="V8" s="709" t="s">
        <v>23</v>
      </c>
      <c r="W8" s="710">
        <f t="shared" si="2"/>
        <v>0</v>
      </c>
      <c r="X8" s="711"/>
      <c r="Y8" s="3500" t="s">
        <v>2132</v>
      </c>
      <c r="Z8" s="3501"/>
      <c r="AA8" s="712" t="e">
        <f t="shared" ref="AA8:AA19" si="3">D8/F8</f>
        <v>#DIV/0!</v>
      </c>
      <c r="AB8" s="712" t="e">
        <f t="shared" ref="AB8:AB19" si="4">D8/H8</f>
        <v>#DIV/0!</v>
      </c>
      <c r="AC8" s="712" t="e">
        <f t="shared" ref="AC8:AC19" si="5">D8/J8</f>
        <v>#DIV/0!</v>
      </c>
    </row>
    <row r="9" spans="1:29" s="112" customFormat="1">
      <c r="A9" s="374" t="s">
        <v>2133</v>
      </c>
      <c r="B9" s="67"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475" t="s">
        <v>2135</v>
      </c>
      <c r="Q9" s="1477" t="str">
        <f t="shared" ref="Q9:Q15" si="6">B9</f>
        <v>用途</v>
      </c>
      <c r="R9" s="709" t="s">
        <v>17</v>
      </c>
      <c r="S9" s="710">
        <f t="shared" si="0"/>
        <v>100</v>
      </c>
      <c r="T9" s="709" t="s">
        <v>17</v>
      </c>
      <c r="U9" s="710">
        <f t="shared" si="1"/>
        <v>100</v>
      </c>
      <c r="V9" s="709" t="s">
        <v>17</v>
      </c>
      <c r="W9" s="710">
        <f t="shared" si="2"/>
        <v>100</v>
      </c>
      <c r="X9" s="711"/>
      <c r="Y9" s="3336"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475"/>
      <c r="Q10" s="1477" t="str">
        <f t="shared" si="6"/>
        <v>土地使用年限（年）</v>
      </c>
      <c r="R10" s="709" t="s">
        <v>17</v>
      </c>
      <c r="S10" s="710">
        <f t="shared" si="0"/>
        <v>100</v>
      </c>
      <c r="T10" s="709" t="s">
        <v>17</v>
      </c>
      <c r="U10" s="710">
        <f t="shared" si="1"/>
        <v>100</v>
      </c>
      <c r="V10" s="709" t="s">
        <v>17</v>
      </c>
      <c r="W10" s="710">
        <f t="shared" si="2"/>
        <v>100</v>
      </c>
      <c r="X10" s="711"/>
      <c r="Y10" s="3336"/>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475"/>
      <c r="Q11" s="1477" t="str">
        <f t="shared" si="6"/>
        <v>容积率</v>
      </c>
      <c r="R11" s="709" t="s">
        <v>21</v>
      </c>
      <c r="S11" s="710" t="e">
        <f t="shared" si="0"/>
        <v>#N/A</v>
      </c>
      <c r="T11" s="709" t="s">
        <v>21</v>
      </c>
      <c r="U11" s="710" t="e">
        <f t="shared" si="1"/>
        <v>#N/A</v>
      </c>
      <c r="V11" s="709" t="s">
        <v>21</v>
      </c>
      <c r="W11" s="710" t="e">
        <f t="shared" si="2"/>
        <v>#N/A</v>
      </c>
      <c r="X11" s="711"/>
      <c r="Y11" s="3336"/>
      <c r="Z11" s="55"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475"/>
      <c r="Q12" s="1477">
        <f t="shared" si="6"/>
        <v>111</v>
      </c>
      <c r="R12" s="709" t="s">
        <v>21</v>
      </c>
      <c r="S12" s="710">
        <f t="shared" si="0"/>
        <v>100</v>
      </c>
      <c r="T12" s="709" t="s">
        <v>21</v>
      </c>
      <c r="U12" s="710">
        <f t="shared" si="1"/>
        <v>100</v>
      </c>
      <c r="V12" s="709" t="s">
        <v>21</v>
      </c>
      <c r="W12" s="710">
        <f t="shared" si="2"/>
        <v>100</v>
      </c>
      <c r="X12" s="711"/>
      <c r="Y12" s="3336"/>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475"/>
      <c r="Q13" s="1477">
        <f t="shared" si="6"/>
        <v>111</v>
      </c>
      <c r="R13" s="709" t="s">
        <v>21</v>
      </c>
      <c r="S13" s="710">
        <f t="shared" si="0"/>
        <v>100</v>
      </c>
      <c r="T13" s="709" t="s">
        <v>21</v>
      </c>
      <c r="U13" s="710">
        <f t="shared" si="1"/>
        <v>100</v>
      </c>
      <c r="V13" s="709" t="s">
        <v>21</v>
      </c>
      <c r="W13" s="710">
        <f t="shared" si="2"/>
        <v>100</v>
      </c>
      <c r="X13" s="711"/>
      <c r="Y13" s="3336"/>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475"/>
      <c r="Q14" s="1477">
        <f t="shared" si="6"/>
        <v>111</v>
      </c>
      <c r="R14" s="709" t="s">
        <v>21</v>
      </c>
      <c r="S14" s="710">
        <f t="shared" si="0"/>
        <v>100</v>
      </c>
      <c r="T14" s="709" t="s">
        <v>21</v>
      </c>
      <c r="U14" s="710">
        <f t="shared" si="1"/>
        <v>100</v>
      </c>
      <c r="V14" s="709" t="s">
        <v>21</v>
      </c>
      <c r="W14" s="710">
        <f t="shared" si="2"/>
        <v>100</v>
      </c>
      <c r="X14" s="711"/>
      <c r="Y14" s="3336"/>
      <c r="Z14" s="55">
        <f t="shared" si="7"/>
        <v>111</v>
      </c>
      <c r="AA14" s="712">
        <f t="shared" si="3"/>
        <v>1</v>
      </c>
      <c r="AB14" s="712">
        <f t="shared" si="4"/>
        <v>1</v>
      </c>
      <c r="AC14" s="712">
        <f t="shared" si="5"/>
        <v>1</v>
      </c>
    </row>
    <row r="15" spans="1:29" ht="99.75">
      <c r="A15" s="398" t="s">
        <v>2139</v>
      </c>
      <c r="B15" s="65"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473" t="s">
        <v>2140</v>
      </c>
      <c r="Q15" s="1486" t="str">
        <f t="shared" si="6"/>
        <v>居住社区成熟度</v>
      </c>
      <c r="R15" s="713" t="s">
        <v>21</v>
      </c>
      <c r="S15" s="714">
        <f t="shared" si="0"/>
        <v>100</v>
      </c>
      <c r="T15" s="713" t="s">
        <v>21</v>
      </c>
      <c r="U15" s="714">
        <f t="shared" si="1"/>
        <v>100</v>
      </c>
      <c r="V15" s="713" t="s">
        <v>21</v>
      </c>
      <c r="W15" s="714">
        <f t="shared" si="2"/>
        <v>100</v>
      </c>
      <c r="X15" s="1489"/>
      <c r="Y15" s="3466"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474"/>
      <c r="Q16" s="1486"/>
      <c r="R16" s="713"/>
      <c r="S16" s="714"/>
      <c r="T16" s="713"/>
      <c r="U16" s="714"/>
      <c r="V16" s="713"/>
      <c r="W16" s="714"/>
      <c r="X16" s="1489"/>
      <c r="Y16" s="3467"/>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474"/>
      <c r="Q17" s="1486" t="str">
        <f>B17</f>
        <v>交通便捷度</v>
      </c>
      <c r="R17" s="713" t="s">
        <v>21</v>
      </c>
      <c r="S17" s="714">
        <f>F17</f>
        <v>100</v>
      </c>
      <c r="T17" s="713" t="s">
        <v>21</v>
      </c>
      <c r="U17" s="714">
        <f>H17</f>
        <v>100</v>
      </c>
      <c r="V17" s="713" t="s">
        <v>21</v>
      </c>
      <c r="W17" s="714">
        <f>J17</f>
        <v>100</v>
      </c>
      <c r="X17" s="1489"/>
      <c r="Y17" s="3467"/>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474"/>
      <c r="Q18" s="1486"/>
      <c r="R18" s="713"/>
      <c r="S18" s="714"/>
      <c r="T18" s="713"/>
      <c r="U18" s="714"/>
      <c r="V18" s="713"/>
      <c r="W18" s="714"/>
      <c r="X18" s="1489"/>
      <c r="Y18" s="3467"/>
      <c r="Z18" s="1490"/>
      <c r="AA18" s="1487">
        <v>1</v>
      </c>
      <c r="AB18" s="1487">
        <v>1</v>
      </c>
      <c r="AC18" s="1487">
        <v>1</v>
      </c>
    </row>
    <row r="19" spans="1:29" ht="42.75">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474"/>
      <c r="Q19" s="1486" t="str">
        <f>B19</f>
        <v>公共配套设施</v>
      </c>
      <c r="R19" s="713" t="s">
        <v>21</v>
      </c>
      <c r="S19" s="714">
        <f>F19</f>
        <v>100</v>
      </c>
      <c r="T19" s="713" t="s">
        <v>21</v>
      </c>
      <c r="U19" s="714">
        <f>H19</f>
        <v>100</v>
      </c>
      <c r="V19" s="713" t="s">
        <v>21</v>
      </c>
      <c r="W19" s="714">
        <f>J19</f>
        <v>100</v>
      </c>
      <c r="X19" s="1489"/>
      <c r="Y19" s="3467"/>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474"/>
      <c r="Q20" s="1486"/>
      <c r="R20" s="713"/>
      <c r="S20" s="714"/>
      <c r="T20" s="713"/>
      <c r="U20" s="714"/>
      <c r="V20" s="713"/>
      <c r="W20" s="714"/>
      <c r="X20" s="1489"/>
      <c r="Y20" s="3467"/>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474"/>
      <c r="Q21" s="1486" t="str">
        <f>B21</f>
        <v>基础设施水平</v>
      </c>
      <c r="R21" s="713" t="s">
        <v>17</v>
      </c>
      <c r="S21" s="714">
        <f>F21</f>
        <v>100</v>
      </c>
      <c r="T21" s="713" t="s">
        <v>17</v>
      </c>
      <c r="U21" s="714">
        <f>H21</f>
        <v>100</v>
      </c>
      <c r="V21" s="713" t="s">
        <v>17</v>
      </c>
      <c r="W21" s="714">
        <f>J21</f>
        <v>100</v>
      </c>
      <c r="X21" s="1489"/>
      <c r="Y21" s="346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474"/>
      <c r="Q22" s="1486"/>
      <c r="R22" s="713"/>
      <c r="S22" s="714"/>
      <c r="T22" s="713"/>
      <c r="U22" s="714"/>
      <c r="V22" s="713"/>
      <c r="W22" s="714"/>
      <c r="X22" s="1489"/>
      <c r="Y22" s="3467"/>
      <c r="Z22" s="1490"/>
      <c r="AA22" s="1487">
        <v>1</v>
      </c>
      <c r="AB22" s="1487">
        <v>1</v>
      </c>
      <c r="AC22" s="1487">
        <v>1</v>
      </c>
    </row>
    <row r="23" spans="1:29" ht="57">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474"/>
      <c r="Q23" s="1486" t="str">
        <f>B23</f>
        <v>自然及人文环境</v>
      </c>
      <c r="R23" s="713" t="s">
        <v>21</v>
      </c>
      <c r="S23" s="714">
        <f>F23</f>
        <v>100</v>
      </c>
      <c r="T23" s="713" t="s">
        <v>21</v>
      </c>
      <c r="U23" s="714">
        <f>H23</f>
        <v>100</v>
      </c>
      <c r="V23" s="713" t="s">
        <v>21</v>
      </c>
      <c r="W23" s="714">
        <f>J23</f>
        <v>100</v>
      </c>
      <c r="X23" s="1489"/>
      <c r="Y23" s="3467"/>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474"/>
      <c r="Q24" s="1486"/>
      <c r="R24" s="713"/>
      <c r="S24" s="714"/>
      <c r="T24" s="713"/>
      <c r="U24" s="714"/>
      <c r="V24" s="713"/>
      <c r="W24" s="714"/>
      <c r="X24" s="1489"/>
      <c r="Y24" s="3467"/>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474"/>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67"/>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474"/>
      <c r="Q26" s="1486" t="str">
        <f t="shared" si="11"/>
        <v>朝向</v>
      </c>
      <c r="R26" s="713" t="s">
        <v>21</v>
      </c>
      <c r="S26" s="714">
        <f t="shared" si="12"/>
        <v>100</v>
      </c>
      <c r="T26" s="713" t="s">
        <v>21</v>
      </c>
      <c r="U26" s="714">
        <f t="shared" si="13"/>
        <v>100</v>
      </c>
      <c r="V26" s="713" t="s">
        <v>21</v>
      </c>
      <c r="W26" s="714">
        <f t="shared" si="14"/>
        <v>100</v>
      </c>
      <c r="X26" s="1489"/>
      <c r="Y26" s="3467"/>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474"/>
      <c r="Q27" s="1477">
        <f t="shared" si="11"/>
        <v>111</v>
      </c>
      <c r="R27" s="709" t="s">
        <v>21</v>
      </c>
      <c r="S27" s="710">
        <f t="shared" si="12"/>
        <v>100</v>
      </c>
      <c r="T27" s="709" t="s">
        <v>21</v>
      </c>
      <c r="U27" s="710">
        <f t="shared" si="13"/>
        <v>100</v>
      </c>
      <c r="V27" s="709" t="s">
        <v>21</v>
      </c>
      <c r="W27" s="710">
        <f t="shared" si="14"/>
        <v>100</v>
      </c>
      <c r="X27" s="711"/>
      <c r="Y27" s="3467"/>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474"/>
      <c r="Q28" s="1486">
        <f t="shared" si="11"/>
        <v>111</v>
      </c>
      <c r="R28" s="713" t="s">
        <v>21</v>
      </c>
      <c r="S28" s="714">
        <f t="shared" si="12"/>
        <v>100</v>
      </c>
      <c r="T28" s="713" t="s">
        <v>21</v>
      </c>
      <c r="U28" s="714">
        <f t="shared" si="13"/>
        <v>100</v>
      </c>
      <c r="V28" s="713" t="s">
        <v>21</v>
      </c>
      <c r="W28" s="714">
        <f t="shared" si="14"/>
        <v>100</v>
      </c>
      <c r="X28" s="1489"/>
      <c r="Y28" s="3467"/>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474"/>
      <c r="Q29" s="1486">
        <f t="shared" si="11"/>
        <v>111</v>
      </c>
      <c r="R29" s="713" t="s">
        <v>21</v>
      </c>
      <c r="S29" s="714">
        <f t="shared" si="12"/>
        <v>100</v>
      </c>
      <c r="T29" s="713" t="s">
        <v>21</v>
      </c>
      <c r="U29" s="714">
        <f t="shared" si="13"/>
        <v>100</v>
      </c>
      <c r="V29" s="713" t="s">
        <v>21</v>
      </c>
      <c r="W29" s="714">
        <f t="shared" si="14"/>
        <v>100</v>
      </c>
      <c r="X29" s="1489"/>
      <c r="Y29" s="3467"/>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474"/>
      <c r="Q30" s="1486">
        <f t="shared" si="11"/>
        <v>111</v>
      </c>
      <c r="R30" s="713" t="s">
        <v>21</v>
      </c>
      <c r="S30" s="714">
        <f t="shared" si="12"/>
        <v>100</v>
      </c>
      <c r="T30" s="713" t="s">
        <v>21</v>
      </c>
      <c r="U30" s="714">
        <f t="shared" si="13"/>
        <v>100</v>
      </c>
      <c r="V30" s="713" t="s">
        <v>21</v>
      </c>
      <c r="W30" s="714">
        <f t="shared" si="14"/>
        <v>100</v>
      </c>
      <c r="X30" s="1489"/>
      <c r="Y30" s="3467"/>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474"/>
      <c r="Q31" s="1486">
        <f t="shared" si="11"/>
        <v>111</v>
      </c>
      <c r="R31" s="713" t="s">
        <v>21</v>
      </c>
      <c r="S31" s="714">
        <f t="shared" si="12"/>
        <v>100</v>
      </c>
      <c r="T31" s="713" t="s">
        <v>21</v>
      </c>
      <c r="U31" s="714">
        <f t="shared" si="13"/>
        <v>100</v>
      </c>
      <c r="V31" s="713" t="s">
        <v>21</v>
      </c>
      <c r="W31" s="714">
        <f t="shared" si="14"/>
        <v>100</v>
      </c>
      <c r="X31" s="1489"/>
      <c r="Y31" s="3467"/>
      <c r="Z31" s="1490">
        <f t="shared" si="18"/>
        <v>111</v>
      </c>
      <c r="AA31" s="1487">
        <f t="shared" si="15"/>
        <v>1</v>
      </c>
      <c r="AB31" s="1487">
        <f t="shared" si="16"/>
        <v>1</v>
      </c>
      <c r="AC31" s="1487">
        <f t="shared" si="17"/>
        <v>1</v>
      </c>
    </row>
    <row r="32" spans="1:29" ht="15">
      <c r="A32" s="398" t="s">
        <v>2143</v>
      </c>
      <c r="B32" s="67"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468" t="s">
        <v>2145</v>
      </c>
      <c r="Q32" s="1486" t="str">
        <f t="shared" si="11"/>
        <v>建筑类型</v>
      </c>
      <c r="R32" s="713" t="s">
        <v>21</v>
      </c>
      <c r="S32" s="714">
        <f t="shared" si="12"/>
        <v>100</v>
      </c>
      <c r="T32" s="713" t="s">
        <v>21</v>
      </c>
      <c r="U32" s="714">
        <f t="shared" si="13"/>
        <v>100</v>
      </c>
      <c r="V32" s="713" t="s">
        <v>21</v>
      </c>
      <c r="W32" s="714">
        <f t="shared" si="14"/>
        <v>100</v>
      </c>
      <c r="X32" s="1489"/>
      <c r="Y32" s="3471"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469"/>
      <c r="Q33" s="715" t="str">
        <f t="shared" si="11"/>
        <v>项目建筑规模</v>
      </c>
      <c r="R33" s="716" t="s">
        <v>21</v>
      </c>
      <c r="S33" s="717" t="e">
        <f t="shared" si="12"/>
        <v>#N/A</v>
      </c>
      <c r="T33" s="716" t="s">
        <v>21</v>
      </c>
      <c r="U33" s="717" t="e">
        <f t="shared" si="13"/>
        <v>#N/A</v>
      </c>
      <c r="V33" s="716" t="s">
        <v>21</v>
      </c>
      <c r="W33" s="717" t="e">
        <f t="shared" si="14"/>
        <v>#N/A</v>
      </c>
      <c r="X33" s="718"/>
      <c r="Y33" s="3471"/>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469"/>
      <c r="Q34" s="1486" t="str">
        <f t="shared" si="11"/>
        <v>建筑结构</v>
      </c>
      <c r="R34" s="713" t="s">
        <v>21</v>
      </c>
      <c r="S34" s="714">
        <f t="shared" si="12"/>
        <v>100</v>
      </c>
      <c r="T34" s="713" t="s">
        <v>21</v>
      </c>
      <c r="U34" s="714">
        <f t="shared" si="13"/>
        <v>100</v>
      </c>
      <c r="V34" s="713" t="s">
        <v>21</v>
      </c>
      <c r="W34" s="714">
        <f t="shared" si="14"/>
        <v>100</v>
      </c>
      <c r="X34" s="1489"/>
      <c r="Y34" s="3471"/>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469"/>
      <c r="Q35" s="1486" t="str">
        <f t="shared" si="11"/>
        <v>建筑品质</v>
      </c>
      <c r="R35" s="713" t="s">
        <v>21</v>
      </c>
      <c r="S35" s="714">
        <f t="shared" si="12"/>
        <v>100</v>
      </c>
      <c r="T35" s="713" t="s">
        <v>21</v>
      </c>
      <c r="U35" s="714">
        <f t="shared" si="13"/>
        <v>100</v>
      </c>
      <c r="V35" s="713" t="s">
        <v>21</v>
      </c>
      <c r="W35" s="714">
        <f t="shared" si="14"/>
        <v>100</v>
      </c>
      <c r="X35" s="1489"/>
      <c r="Y35" s="3471"/>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469"/>
      <c r="Q36" s="1486" t="str">
        <f t="shared" si="11"/>
        <v>公共部分装修</v>
      </c>
      <c r="R36" s="713" t="s">
        <v>21</v>
      </c>
      <c r="S36" s="714">
        <f t="shared" si="12"/>
        <v>100</v>
      </c>
      <c r="T36" s="713" t="s">
        <v>21</v>
      </c>
      <c r="U36" s="714">
        <f t="shared" si="13"/>
        <v>100</v>
      </c>
      <c r="V36" s="713" t="s">
        <v>21</v>
      </c>
      <c r="W36" s="714">
        <f t="shared" si="14"/>
        <v>100</v>
      </c>
      <c r="X36" s="1489"/>
      <c r="Y36" s="3471"/>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469"/>
      <c r="Q37" s="1477" t="str">
        <f t="shared" si="11"/>
        <v>成新度</v>
      </c>
      <c r="R37" s="709" t="s">
        <v>21</v>
      </c>
      <c r="S37" s="710" t="e">
        <f t="shared" si="12"/>
        <v>#N/A</v>
      </c>
      <c r="T37" s="709" t="s">
        <v>21</v>
      </c>
      <c r="U37" s="710" t="e">
        <f t="shared" si="13"/>
        <v>#N/A</v>
      </c>
      <c r="V37" s="709" t="s">
        <v>21</v>
      </c>
      <c r="W37" s="710" t="e">
        <f t="shared" si="14"/>
        <v>#N/A</v>
      </c>
      <c r="X37" s="711"/>
      <c r="Y37" s="3471"/>
      <c r="Z37" s="55"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469" t="s">
        <v>2145</v>
      </c>
      <c r="Q38" s="1486" t="str">
        <f t="shared" si="11"/>
        <v>物业管理</v>
      </c>
      <c r="R38" s="713" t="s">
        <v>21</v>
      </c>
      <c r="S38" s="714">
        <f t="shared" si="12"/>
        <v>100</v>
      </c>
      <c r="T38" s="713" t="s">
        <v>21</v>
      </c>
      <c r="U38" s="714">
        <f t="shared" si="13"/>
        <v>100</v>
      </c>
      <c r="V38" s="713" t="s">
        <v>21</v>
      </c>
      <c r="W38" s="714">
        <f t="shared" si="14"/>
        <v>100</v>
      </c>
      <c r="X38" s="1489"/>
      <c r="Y38" s="3471"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469"/>
      <c r="Q39" s="1486" t="str">
        <f t="shared" si="11"/>
        <v>市政基础设施</v>
      </c>
      <c r="R39" s="713" t="s">
        <v>21</v>
      </c>
      <c r="S39" s="714">
        <f t="shared" si="12"/>
        <v>100</v>
      </c>
      <c r="T39" s="713" t="s">
        <v>21</v>
      </c>
      <c r="U39" s="714">
        <f t="shared" si="13"/>
        <v>100</v>
      </c>
      <c r="V39" s="713" t="s">
        <v>21</v>
      </c>
      <c r="W39" s="714">
        <f t="shared" si="14"/>
        <v>100</v>
      </c>
      <c r="X39" s="1489"/>
      <c r="Y39" s="3471"/>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469"/>
      <c r="Q40" s="1486" t="str">
        <f t="shared" si="11"/>
        <v>房型</v>
      </c>
      <c r="R40" s="713" t="s">
        <v>21</v>
      </c>
      <c r="S40" s="714">
        <f t="shared" si="12"/>
        <v>100</v>
      </c>
      <c r="T40" s="713" t="s">
        <v>21</v>
      </c>
      <c r="U40" s="714">
        <f t="shared" si="13"/>
        <v>100</v>
      </c>
      <c r="V40" s="713" t="s">
        <v>21</v>
      </c>
      <c r="W40" s="714">
        <f t="shared" si="14"/>
        <v>100</v>
      </c>
      <c r="X40" s="1489"/>
      <c r="Y40" s="3471"/>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469"/>
      <c r="Q41" s="715" t="str">
        <f t="shared" si="11"/>
        <v>单套/主力户型建筑面积</v>
      </c>
      <c r="R41" s="716" t="s">
        <v>21</v>
      </c>
      <c r="S41" s="717">
        <f t="shared" si="12"/>
        <v>100</v>
      </c>
      <c r="T41" s="716" t="s">
        <v>21</v>
      </c>
      <c r="U41" s="717">
        <f t="shared" si="13"/>
        <v>100</v>
      </c>
      <c r="V41" s="716" t="s">
        <v>21</v>
      </c>
      <c r="W41" s="717">
        <f t="shared" si="14"/>
        <v>100</v>
      </c>
      <c r="X41" s="718"/>
      <c r="Y41" s="3471"/>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469"/>
      <c r="Q42" s="1486" t="str">
        <f t="shared" si="11"/>
        <v>内部装修</v>
      </c>
      <c r="R42" s="713" t="s">
        <v>21</v>
      </c>
      <c r="S42" s="714">
        <f t="shared" si="12"/>
        <v>100</v>
      </c>
      <c r="T42" s="713" t="s">
        <v>21</v>
      </c>
      <c r="U42" s="714">
        <f t="shared" si="13"/>
        <v>100</v>
      </c>
      <c r="V42" s="713" t="s">
        <v>21</v>
      </c>
      <c r="W42" s="714">
        <f t="shared" si="14"/>
        <v>100</v>
      </c>
      <c r="X42" s="1489"/>
      <c r="Y42" s="3471"/>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469"/>
      <c r="Q43" s="1486" t="str">
        <f t="shared" si="11"/>
        <v>内部装修维护情况</v>
      </c>
      <c r="R43" s="713" t="s">
        <v>21</v>
      </c>
      <c r="S43" s="714">
        <f t="shared" si="12"/>
        <v>100</v>
      </c>
      <c r="T43" s="713" t="s">
        <v>21</v>
      </c>
      <c r="U43" s="714">
        <f t="shared" si="13"/>
        <v>100</v>
      </c>
      <c r="V43" s="713" t="s">
        <v>21</v>
      </c>
      <c r="W43" s="714">
        <f t="shared" si="14"/>
        <v>100</v>
      </c>
      <c r="X43" s="1489"/>
      <c r="Y43" s="3471"/>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469"/>
      <c r="Q44" s="1477">
        <f t="shared" si="11"/>
        <v>111</v>
      </c>
      <c r="R44" s="709" t="s">
        <v>21</v>
      </c>
      <c r="S44" s="710">
        <f t="shared" si="12"/>
        <v>100</v>
      </c>
      <c r="T44" s="709" t="s">
        <v>21</v>
      </c>
      <c r="U44" s="710">
        <f t="shared" si="13"/>
        <v>100</v>
      </c>
      <c r="V44" s="709" t="s">
        <v>21</v>
      </c>
      <c r="W44" s="710">
        <f t="shared" si="14"/>
        <v>100</v>
      </c>
      <c r="X44" s="711"/>
      <c r="Y44" s="3471"/>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469"/>
      <c r="Q45" s="1486">
        <f t="shared" si="11"/>
        <v>111</v>
      </c>
      <c r="R45" s="713" t="s">
        <v>21</v>
      </c>
      <c r="S45" s="714">
        <f t="shared" si="12"/>
        <v>100</v>
      </c>
      <c r="T45" s="713" t="s">
        <v>21</v>
      </c>
      <c r="U45" s="714">
        <f t="shared" si="13"/>
        <v>100</v>
      </c>
      <c r="V45" s="713" t="s">
        <v>21</v>
      </c>
      <c r="W45" s="714">
        <f t="shared" si="14"/>
        <v>100</v>
      </c>
      <c r="X45" s="1489"/>
      <c r="Y45" s="3471"/>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470"/>
      <c r="Q46" s="1486">
        <f t="shared" si="11"/>
        <v>111</v>
      </c>
      <c r="R46" s="713" t="s">
        <v>20</v>
      </c>
      <c r="S46" s="714">
        <f t="shared" si="12"/>
        <v>100</v>
      </c>
      <c r="T46" s="713" t="s">
        <v>20</v>
      </c>
      <c r="U46" s="714">
        <f t="shared" si="13"/>
        <v>100</v>
      </c>
      <c r="V46" s="713" t="s">
        <v>20</v>
      </c>
      <c r="W46" s="714">
        <f t="shared" si="14"/>
        <v>100</v>
      </c>
      <c r="X46" s="1489"/>
      <c r="Y46" s="3472"/>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464" t="str">
        <f>A47</f>
        <v>成交单价（元/平方米）</v>
      </c>
      <c r="Q47" s="3464"/>
      <c r="R47" s="3465">
        <f>E47</f>
        <v>0</v>
      </c>
      <c r="S47" s="3465"/>
      <c r="T47" s="3465">
        <f>G47</f>
        <v>0</v>
      </c>
      <c r="U47" s="3465"/>
      <c r="V47" s="3465">
        <f>I47</f>
        <v>0</v>
      </c>
      <c r="W47" s="3465"/>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2165</v>
      </c>
      <c r="B60" s="472"/>
      <c r="C60" s="473"/>
      <c r="D60" s="474"/>
      <c r="E60" s="474"/>
      <c r="F60" s="474"/>
      <c r="G60" s="474"/>
      <c r="H60" s="474"/>
      <c r="I60" s="474"/>
      <c r="J60" s="474"/>
      <c r="K60" s="474"/>
      <c r="L60" s="474"/>
      <c r="M60" s="475"/>
      <c r="N60" s="474"/>
      <c r="O60" s="475"/>
      <c r="P60" s="2056"/>
      <c r="Q60" s="460"/>
    </row>
    <row r="61" spans="1:29" s="112" customFormat="1" ht="15">
      <c r="A61" s="477" t="s">
        <v>2166</v>
      </c>
      <c r="B61" s="466"/>
      <c r="C61" s="478" t="s">
        <v>2167</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2190</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2191</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210956.06</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89" t="s">
        <v>2227</v>
      </c>
      <c r="S4" s="3490"/>
      <c r="T4" s="3489" t="s">
        <v>2228</v>
      </c>
      <c r="U4" s="3490"/>
      <c r="V4" s="3495" t="s">
        <v>2229</v>
      </c>
      <c r="W4" s="3495"/>
      <c r="X4" s="1489"/>
      <c r="Y4" s="3489" t="s">
        <v>2231</v>
      </c>
      <c r="Z4" s="3490"/>
      <c r="AA4" s="3476" t="s">
        <v>2227</v>
      </c>
      <c r="AB4" s="3495" t="s">
        <v>2228</v>
      </c>
      <c r="AC4" s="3476" t="s">
        <v>2229</v>
      </c>
    </row>
    <row r="5" spans="1:29" ht="15">
      <c r="A5" s="363"/>
      <c r="B5" s="364"/>
      <c r="C5" s="3498" t="s">
        <v>2122</v>
      </c>
      <c r="D5" s="3499"/>
      <c r="E5" s="3505" t="s">
        <v>2123</v>
      </c>
      <c r="F5" s="3506"/>
      <c r="G5" s="3498" t="s">
        <v>2124</v>
      </c>
      <c r="H5" s="3499"/>
      <c r="I5" s="3498" t="s">
        <v>2125</v>
      </c>
      <c r="J5" s="3499"/>
      <c r="K5" s="566"/>
      <c r="L5" s="2893"/>
      <c r="M5" s="2894"/>
      <c r="N5" s="2894"/>
      <c r="O5" s="2894"/>
      <c r="P5" s="3485"/>
      <c r="Q5" s="3486"/>
      <c r="R5" s="3491"/>
      <c r="S5" s="3492"/>
      <c r="T5" s="3491"/>
      <c r="U5" s="3492"/>
      <c r="V5" s="3495"/>
      <c r="W5" s="3495"/>
      <c r="X5" s="1489"/>
      <c r="Y5" s="3491"/>
      <c r="Z5" s="3492"/>
      <c r="AA5" s="3477"/>
      <c r="AB5" s="3495"/>
      <c r="AC5" s="3477"/>
    </row>
    <row r="6" spans="1:29" ht="15.75" thickBot="1">
      <c r="A6" s="365"/>
      <c r="B6" s="366"/>
      <c r="C6" s="3496" t="s">
        <v>2126</v>
      </c>
      <c r="D6" s="3497"/>
      <c r="E6" s="3503" t="s">
        <v>2126</v>
      </c>
      <c r="F6" s="3504"/>
      <c r="G6" s="3496" t="s">
        <v>2126</v>
      </c>
      <c r="H6" s="3497"/>
      <c r="I6" s="3496" t="s">
        <v>2126</v>
      </c>
      <c r="J6" s="3497"/>
      <c r="K6" s="566" t="s">
        <v>2127</v>
      </c>
      <c r="L6" s="2893"/>
      <c r="M6" s="2894"/>
      <c r="N6" s="2894"/>
      <c r="O6" s="2894"/>
      <c r="P6" s="3487"/>
      <c r="Q6" s="3488"/>
      <c r="R6" s="3491"/>
      <c r="S6" s="3492"/>
      <c r="T6" s="3493"/>
      <c r="U6" s="3494"/>
      <c r="V6" s="3495"/>
      <c r="W6" s="3495"/>
      <c r="X6" s="1489"/>
      <c r="Y6" s="3493"/>
      <c r="Z6" s="3494"/>
      <c r="AA6" s="3478"/>
      <c r="AB6" s="3495"/>
      <c r="AC6" s="3478"/>
    </row>
    <row r="7" spans="1:29" s="112" customFormat="1" ht="15.75" thickBot="1">
      <c r="A7" s="367" t="s">
        <v>2128</v>
      </c>
      <c r="B7" s="368"/>
      <c r="C7" s="369">
        <f>'数据-取费表'!B2</f>
        <v>44823</v>
      </c>
      <c r="D7" s="370">
        <v>100</v>
      </c>
      <c r="E7" s="371"/>
      <c r="F7" s="372">
        <f>SUMIF(58:58,YEAR(E7)&amp;"-"&amp;MONTH(E7),59:59)</f>
        <v>0</v>
      </c>
      <c r="G7" s="371"/>
      <c r="H7" s="370">
        <f>SUMIF(58:58,YEAR(G7)&amp;"-"&amp;MONTH(G7),59:59)</f>
        <v>0</v>
      </c>
      <c r="I7" s="371"/>
      <c r="J7" s="370">
        <f>SUMIF(58:58,YEAR(I7)&amp;"-"&amp;MONTH(I7),59:59)</f>
        <v>0</v>
      </c>
      <c r="K7" s="567"/>
      <c r="L7" s="2895"/>
      <c r="M7" s="2896"/>
      <c r="N7" s="2896"/>
      <c r="O7" s="2896"/>
      <c r="P7" s="3500" t="s">
        <v>2129</v>
      </c>
      <c r="Q7" s="3502"/>
      <c r="R7" s="709" t="s">
        <v>17</v>
      </c>
      <c r="S7" s="710">
        <f t="shared" ref="S7:S15" si="0">F7</f>
        <v>0</v>
      </c>
      <c r="T7" s="709" t="s">
        <v>17</v>
      </c>
      <c r="U7" s="710">
        <f t="shared" ref="U7:U15" si="1">H7</f>
        <v>0</v>
      </c>
      <c r="V7" s="709" t="s">
        <v>17</v>
      </c>
      <c r="W7" s="710">
        <f t="shared" ref="W7:W15" si="2">J7</f>
        <v>0</v>
      </c>
      <c r="X7" s="711"/>
      <c r="Y7" s="3500" t="s">
        <v>2129</v>
      </c>
      <c r="Z7" s="3501"/>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500" t="s">
        <v>2132</v>
      </c>
      <c r="Q8" s="3501"/>
      <c r="R8" s="709" t="s">
        <v>17</v>
      </c>
      <c r="S8" s="710">
        <f t="shared" si="0"/>
        <v>0</v>
      </c>
      <c r="T8" s="709" t="s">
        <v>17</v>
      </c>
      <c r="U8" s="710">
        <f t="shared" si="1"/>
        <v>0</v>
      </c>
      <c r="V8" s="709" t="s">
        <v>17</v>
      </c>
      <c r="W8" s="710">
        <f t="shared" si="2"/>
        <v>0</v>
      </c>
      <c r="X8" s="711"/>
      <c r="Y8" s="3500" t="s">
        <v>2132</v>
      </c>
      <c r="Z8" s="3501"/>
      <c r="AA8" s="712" t="e">
        <f t="shared" ref="AA8:AA46" si="3">D8/F8</f>
        <v>#DIV/0!</v>
      </c>
      <c r="AB8" s="712" t="e">
        <f t="shared" ref="AB8:AB46" si="4">D8/H8</f>
        <v>#DIV/0!</v>
      </c>
      <c r="AC8" s="712" t="e">
        <f t="shared" ref="AC8:AC46" si="5">D8/J8</f>
        <v>#DIV/0!</v>
      </c>
    </row>
    <row r="9" spans="1:29" s="112"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475" t="s">
        <v>2135</v>
      </c>
      <c r="Q9" s="1477" t="str">
        <f t="shared" ref="Q9:Q15" si="6">B9</f>
        <v>用途</v>
      </c>
      <c r="R9" s="709" t="s">
        <v>17</v>
      </c>
      <c r="S9" s="710">
        <f t="shared" si="0"/>
        <v>100</v>
      </c>
      <c r="T9" s="709" t="s">
        <v>17</v>
      </c>
      <c r="U9" s="710">
        <f t="shared" si="1"/>
        <v>100</v>
      </c>
      <c r="V9" s="709" t="s">
        <v>17</v>
      </c>
      <c r="W9" s="710">
        <f t="shared" si="2"/>
        <v>100</v>
      </c>
      <c r="X9" s="711"/>
      <c r="Y9" s="3336"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475"/>
      <c r="Q10" s="1477" t="str">
        <f t="shared" si="6"/>
        <v>土地使用年限（年）</v>
      </c>
      <c r="R10" s="709" t="s">
        <v>17</v>
      </c>
      <c r="S10" s="710">
        <f t="shared" si="0"/>
        <v>100</v>
      </c>
      <c r="T10" s="709" t="s">
        <v>17</v>
      </c>
      <c r="U10" s="710">
        <f t="shared" si="1"/>
        <v>100</v>
      </c>
      <c r="V10" s="709" t="s">
        <v>17</v>
      </c>
      <c r="W10" s="710">
        <f t="shared" si="2"/>
        <v>100</v>
      </c>
      <c r="X10" s="711"/>
      <c r="Y10" s="3336"/>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475"/>
      <c r="Q11" s="1477" t="str">
        <f t="shared" si="6"/>
        <v>容积率</v>
      </c>
      <c r="R11" s="709" t="s">
        <v>17</v>
      </c>
      <c r="S11" s="710" t="e">
        <f t="shared" si="0"/>
        <v>#N/A</v>
      </c>
      <c r="T11" s="709" t="s">
        <v>17</v>
      </c>
      <c r="U11" s="710" t="e">
        <f t="shared" si="1"/>
        <v>#N/A</v>
      </c>
      <c r="V11" s="709" t="s">
        <v>17</v>
      </c>
      <c r="W11" s="710" t="e">
        <f t="shared" si="2"/>
        <v>#N/A</v>
      </c>
      <c r="X11" s="711"/>
      <c r="Y11" s="3336"/>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475"/>
      <c r="Q12" s="1477">
        <f t="shared" si="6"/>
        <v>111</v>
      </c>
      <c r="R12" s="709" t="s">
        <v>17</v>
      </c>
      <c r="S12" s="710">
        <f t="shared" si="0"/>
        <v>100</v>
      </c>
      <c r="T12" s="709" t="s">
        <v>17</v>
      </c>
      <c r="U12" s="710">
        <f t="shared" si="1"/>
        <v>100</v>
      </c>
      <c r="V12" s="709" t="s">
        <v>17</v>
      </c>
      <c r="W12" s="710">
        <f t="shared" si="2"/>
        <v>100</v>
      </c>
      <c r="X12" s="711"/>
      <c r="Y12" s="3336"/>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475"/>
      <c r="Q13" s="1477">
        <f t="shared" si="6"/>
        <v>111</v>
      </c>
      <c r="R13" s="709" t="s">
        <v>17</v>
      </c>
      <c r="S13" s="710">
        <f t="shared" si="0"/>
        <v>100</v>
      </c>
      <c r="T13" s="709" t="s">
        <v>17</v>
      </c>
      <c r="U13" s="710">
        <f t="shared" si="1"/>
        <v>100</v>
      </c>
      <c r="V13" s="709" t="s">
        <v>17</v>
      </c>
      <c r="W13" s="710">
        <f t="shared" si="2"/>
        <v>100</v>
      </c>
      <c r="X13" s="711"/>
      <c r="Y13" s="3336"/>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475"/>
      <c r="Q14" s="1477">
        <f t="shared" si="6"/>
        <v>111</v>
      </c>
      <c r="R14" s="709" t="s">
        <v>17</v>
      </c>
      <c r="S14" s="710">
        <f t="shared" si="0"/>
        <v>100</v>
      </c>
      <c r="T14" s="709" t="s">
        <v>17</v>
      </c>
      <c r="U14" s="710">
        <f t="shared" si="1"/>
        <v>100</v>
      </c>
      <c r="V14" s="709" t="s">
        <v>17</v>
      </c>
      <c r="W14" s="710">
        <f t="shared" si="2"/>
        <v>100</v>
      </c>
      <c r="X14" s="711"/>
      <c r="Y14" s="3336"/>
      <c r="Z14" s="55">
        <f t="shared" si="7"/>
        <v>111</v>
      </c>
      <c r="AA14" s="712">
        <f t="shared" si="3"/>
        <v>1</v>
      </c>
      <c r="AB14" s="712">
        <f t="shared" si="4"/>
        <v>1</v>
      </c>
      <c r="AC14" s="712">
        <f t="shared" si="5"/>
        <v>1</v>
      </c>
    </row>
    <row r="15" spans="1:29" ht="71.25">
      <c r="A15" s="398" t="s">
        <v>2139</v>
      </c>
      <c r="B15" s="65"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473" t="s">
        <v>2140</v>
      </c>
      <c r="Q15" s="1486" t="str">
        <f t="shared" si="6"/>
        <v>商业繁华度</v>
      </c>
      <c r="R15" s="713" t="s">
        <v>17</v>
      </c>
      <c r="S15" s="714">
        <f t="shared" si="0"/>
        <v>100</v>
      </c>
      <c r="T15" s="713" t="s">
        <v>17</v>
      </c>
      <c r="U15" s="714">
        <f t="shared" si="1"/>
        <v>100</v>
      </c>
      <c r="V15" s="713" t="s">
        <v>17</v>
      </c>
      <c r="W15" s="714">
        <f t="shared" si="2"/>
        <v>100</v>
      </c>
      <c r="X15" s="1489"/>
      <c r="Y15" s="3466"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474"/>
      <c r="Q16" s="1486"/>
      <c r="R16" s="713"/>
      <c r="S16" s="714"/>
      <c r="T16" s="713"/>
      <c r="U16" s="714"/>
      <c r="V16" s="713"/>
      <c r="W16" s="714"/>
      <c r="X16" s="1489"/>
      <c r="Y16" s="3467"/>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474"/>
      <c r="Q17" s="1486" t="str">
        <f>B17</f>
        <v>交通便捷度</v>
      </c>
      <c r="R17" s="713" t="s">
        <v>17</v>
      </c>
      <c r="S17" s="714">
        <f>F17</f>
        <v>100</v>
      </c>
      <c r="T17" s="713" t="s">
        <v>17</v>
      </c>
      <c r="U17" s="714">
        <f>H17</f>
        <v>100</v>
      </c>
      <c r="V17" s="713" t="s">
        <v>17</v>
      </c>
      <c r="W17" s="714">
        <f>J17</f>
        <v>100</v>
      </c>
      <c r="X17" s="1489"/>
      <c r="Y17" s="3467"/>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474"/>
      <c r="Q18" s="1486"/>
      <c r="R18" s="713"/>
      <c r="S18" s="714"/>
      <c r="T18" s="713"/>
      <c r="U18" s="714"/>
      <c r="V18" s="713"/>
      <c r="W18" s="714"/>
      <c r="X18" s="1489"/>
      <c r="Y18" s="3467"/>
      <c r="Z18" s="1490"/>
      <c r="AA18" s="1487">
        <v>1</v>
      </c>
      <c r="AB18" s="1487">
        <v>1</v>
      </c>
      <c r="AC18" s="1487">
        <v>1</v>
      </c>
    </row>
    <row r="19" spans="1:29" ht="42.75">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474"/>
      <c r="Q19" s="1486" t="str">
        <f>B19</f>
        <v>公共配套设施</v>
      </c>
      <c r="R19" s="713" t="s">
        <v>17</v>
      </c>
      <c r="S19" s="714">
        <f>F19</f>
        <v>100</v>
      </c>
      <c r="T19" s="713" t="s">
        <v>17</v>
      </c>
      <c r="U19" s="714">
        <f>H19</f>
        <v>100</v>
      </c>
      <c r="V19" s="713" t="s">
        <v>17</v>
      </c>
      <c r="W19" s="714">
        <f>J19</f>
        <v>100</v>
      </c>
      <c r="X19" s="1489"/>
      <c r="Y19" s="3467"/>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474"/>
      <c r="Q20" s="1486"/>
      <c r="R20" s="713"/>
      <c r="S20" s="714"/>
      <c r="T20" s="713"/>
      <c r="U20" s="714"/>
      <c r="V20" s="713"/>
      <c r="W20" s="714"/>
      <c r="X20" s="1489"/>
      <c r="Y20" s="3467"/>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474"/>
      <c r="Q21" s="1486" t="str">
        <f>B21</f>
        <v>基础设施水平</v>
      </c>
      <c r="R21" s="713" t="s">
        <v>17</v>
      </c>
      <c r="S21" s="714">
        <f>F21</f>
        <v>100</v>
      </c>
      <c r="T21" s="713" t="s">
        <v>17</v>
      </c>
      <c r="U21" s="714">
        <f>H21</f>
        <v>100</v>
      </c>
      <c r="V21" s="713" t="s">
        <v>17</v>
      </c>
      <c r="W21" s="714">
        <f>J21</f>
        <v>100</v>
      </c>
      <c r="X21" s="1489"/>
      <c r="Y21" s="346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474"/>
      <c r="Q22" s="1486"/>
      <c r="R22" s="713"/>
      <c r="S22" s="714"/>
      <c r="T22" s="713"/>
      <c r="U22" s="714"/>
      <c r="V22" s="713"/>
      <c r="W22" s="714"/>
      <c r="X22" s="1489"/>
      <c r="Y22" s="3467"/>
      <c r="Z22" s="1490"/>
      <c r="AA22" s="1487">
        <v>1</v>
      </c>
      <c r="AB22" s="1487">
        <v>1</v>
      </c>
      <c r="AC22" s="1487">
        <v>1</v>
      </c>
    </row>
    <row r="23" spans="1:29" ht="57">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474"/>
      <c r="Q23" s="1486" t="str">
        <f>B23</f>
        <v>自然及人文环境</v>
      </c>
      <c r="R23" s="713" t="s">
        <v>17</v>
      </c>
      <c r="S23" s="714">
        <f>F23</f>
        <v>100</v>
      </c>
      <c r="T23" s="713" t="s">
        <v>17</v>
      </c>
      <c r="U23" s="714">
        <f>H23</f>
        <v>100</v>
      </c>
      <c r="V23" s="713" t="s">
        <v>17</v>
      </c>
      <c r="W23" s="714">
        <f>J23</f>
        <v>100</v>
      </c>
      <c r="X23" s="1489"/>
      <c r="Y23" s="3467"/>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474"/>
      <c r="Q24" s="1486"/>
      <c r="R24" s="713"/>
      <c r="S24" s="714"/>
      <c r="T24" s="713"/>
      <c r="U24" s="714"/>
      <c r="V24" s="713"/>
      <c r="W24" s="714"/>
      <c r="X24" s="1489"/>
      <c r="Y24" s="3467"/>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474"/>
      <c r="Q25" s="1486" t="str">
        <f t="shared" ref="Q25:Q46" si="11">B25</f>
        <v>临街状况</v>
      </c>
      <c r="R25" s="713" t="s">
        <v>17</v>
      </c>
      <c r="S25" s="714">
        <f>F25</f>
        <v>100</v>
      </c>
      <c r="T25" s="713" t="s">
        <v>17</v>
      </c>
      <c r="U25" s="714">
        <f>H25</f>
        <v>100</v>
      </c>
      <c r="V25" s="713" t="s">
        <v>17</v>
      </c>
      <c r="W25" s="714">
        <f>J25</f>
        <v>100</v>
      </c>
      <c r="X25" s="1489"/>
      <c r="Y25" s="3467"/>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474"/>
      <c r="Q26" s="1486" t="str">
        <f t="shared" si="11"/>
        <v>平面位置/可视性</v>
      </c>
      <c r="R26" s="713" t="s">
        <v>17</v>
      </c>
      <c r="S26" s="714">
        <f>F26</f>
        <v>100</v>
      </c>
      <c r="T26" s="713" t="s">
        <v>17</v>
      </c>
      <c r="U26" s="714">
        <f>H26</f>
        <v>100</v>
      </c>
      <c r="V26" s="713" t="s">
        <v>17</v>
      </c>
      <c r="W26" s="714">
        <f>J26</f>
        <v>100</v>
      </c>
      <c r="X26" s="1489"/>
      <c r="Y26" s="3467"/>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474"/>
      <c r="Q27" s="1477" t="str">
        <f t="shared" si="11"/>
        <v>人流量</v>
      </c>
      <c r="R27" s="709" t="s">
        <v>17</v>
      </c>
      <c r="S27" s="710">
        <f>F27</f>
        <v>100</v>
      </c>
      <c r="T27" s="709" t="s">
        <v>17</v>
      </c>
      <c r="U27" s="710">
        <f>H27</f>
        <v>100</v>
      </c>
      <c r="V27" s="709" t="s">
        <v>17</v>
      </c>
      <c r="W27" s="710">
        <f>J27</f>
        <v>100</v>
      </c>
      <c r="X27" s="711"/>
      <c r="Y27" s="3467"/>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474"/>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67"/>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474"/>
      <c r="Q29" s="1486">
        <f t="shared" si="11"/>
        <v>111</v>
      </c>
      <c r="R29" s="713" t="s">
        <v>17</v>
      </c>
      <c r="S29" s="714">
        <f t="shared" si="12"/>
        <v>100</v>
      </c>
      <c r="T29" s="713" t="s">
        <v>17</v>
      </c>
      <c r="U29" s="714">
        <f t="shared" si="13"/>
        <v>100</v>
      </c>
      <c r="V29" s="713" t="s">
        <v>17</v>
      </c>
      <c r="W29" s="714">
        <f t="shared" si="14"/>
        <v>100</v>
      </c>
      <c r="X29" s="1489"/>
      <c r="Y29" s="3467"/>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474"/>
      <c r="Q30" s="1486">
        <f t="shared" si="11"/>
        <v>111</v>
      </c>
      <c r="R30" s="713" t="s">
        <v>17</v>
      </c>
      <c r="S30" s="714">
        <f t="shared" si="12"/>
        <v>100</v>
      </c>
      <c r="T30" s="713" t="s">
        <v>17</v>
      </c>
      <c r="U30" s="714">
        <f t="shared" si="13"/>
        <v>100</v>
      </c>
      <c r="V30" s="713" t="s">
        <v>17</v>
      </c>
      <c r="W30" s="714">
        <f t="shared" si="14"/>
        <v>100</v>
      </c>
      <c r="X30" s="1489"/>
      <c r="Y30" s="3467"/>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474"/>
      <c r="Q31" s="1486">
        <f t="shared" si="11"/>
        <v>111</v>
      </c>
      <c r="R31" s="713" t="s">
        <v>17</v>
      </c>
      <c r="S31" s="714">
        <f t="shared" si="12"/>
        <v>100</v>
      </c>
      <c r="T31" s="713" t="s">
        <v>17</v>
      </c>
      <c r="U31" s="714">
        <f t="shared" si="13"/>
        <v>100</v>
      </c>
      <c r="V31" s="713" t="s">
        <v>17</v>
      </c>
      <c r="W31" s="714">
        <f t="shared" si="14"/>
        <v>100</v>
      </c>
      <c r="X31" s="1489"/>
      <c r="Y31" s="3467"/>
      <c r="Z31" s="1490">
        <f t="shared" si="15"/>
        <v>111</v>
      </c>
      <c r="AA31" s="1487">
        <f t="shared" si="3"/>
        <v>1</v>
      </c>
      <c r="AB31" s="1487">
        <f t="shared" si="4"/>
        <v>1</v>
      </c>
      <c r="AC31" s="1487">
        <f t="shared" si="5"/>
        <v>1</v>
      </c>
    </row>
    <row r="32" spans="1:29" ht="15">
      <c r="A32" s="398" t="s">
        <v>2143</v>
      </c>
      <c r="B32" s="67"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468" t="s">
        <v>2145</v>
      </c>
      <c r="Q32" s="1486" t="str">
        <f t="shared" si="11"/>
        <v>商业类型</v>
      </c>
      <c r="R32" s="713" t="s">
        <v>17</v>
      </c>
      <c r="S32" s="714">
        <f t="shared" si="12"/>
        <v>100</v>
      </c>
      <c r="T32" s="713" t="s">
        <v>17</v>
      </c>
      <c r="U32" s="714">
        <f t="shared" si="13"/>
        <v>100</v>
      </c>
      <c r="V32" s="713" t="s">
        <v>17</v>
      </c>
      <c r="W32" s="714">
        <f t="shared" si="14"/>
        <v>100</v>
      </c>
      <c r="X32" s="1489"/>
      <c r="Y32" s="3471"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469"/>
      <c r="Q33" s="715" t="str">
        <f t="shared" si="11"/>
        <v>项目建筑规模</v>
      </c>
      <c r="R33" s="716" t="s">
        <v>17</v>
      </c>
      <c r="S33" s="717" t="e">
        <f t="shared" si="12"/>
        <v>#N/A</v>
      </c>
      <c r="T33" s="716" t="s">
        <v>17</v>
      </c>
      <c r="U33" s="717" t="e">
        <f t="shared" si="13"/>
        <v>#N/A</v>
      </c>
      <c r="V33" s="716" t="s">
        <v>17</v>
      </c>
      <c r="W33" s="717" t="e">
        <f t="shared" si="14"/>
        <v>#N/A</v>
      </c>
      <c r="X33" s="718"/>
      <c r="Y33" s="3471"/>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469"/>
      <c r="Q34" s="1486" t="str">
        <f t="shared" si="11"/>
        <v>建筑结构</v>
      </c>
      <c r="R34" s="713" t="s">
        <v>17</v>
      </c>
      <c r="S34" s="714">
        <f t="shared" si="12"/>
        <v>100</v>
      </c>
      <c r="T34" s="713" t="s">
        <v>17</v>
      </c>
      <c r="U34" s="714">
        <f t="shared" si="13"/>
        <v>100</v>
      </c>
      <c r="V34" s="713" t="s">
        <v>17</v>
      </c>
      <c r="W34" s="714">
        <f t="shared" si="14"/>
        <v>100</v>
      </c>
      <c r="X34" s="1489"/>
      <c r="Y34" s="3471"/>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469"/>
      <c r="Q35" s="1486" t="str">
        <f t="shared" si="11"/>
        <v>公共部分装修</v>
      </c>
      <c r="R35" s="713" t="s">
        <v>17</v>
      </c>
      <c r="S35" s="714">
        <f t="shared" si="12"/>
        <v>100</v>
      </c>
      <c r="T35" s="713" t="s">
        <v>17</v>
      </c>
      <c r="U35" s="714">
        <f t="shared" si="13"/>
        <v>100</v>
      </c>
      <c r="V35" s="713" t="s">
        <v>17</v>
      </c>
      <c r="W35" s="714">
        <f t="shared" si="14"/>
        <v>100</v>
      </c>
      <c r="X35" s="1489"/>
      <c r="Y35" s="3471"/>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469"/>
      <c r="Q36" s="1486" t="str">
        <f t="shared" si="11"/>
        <v>成新度</v>
      </c>
      <c r="R36" s="713" t="s">
        <v>17</v>
      </c>
      <c r="S36" s="714" t="e">
        <f t="shared" si="12"/>
        <v>#N/A</v>
      </c>
      <c r="T36" s="713" t="s">
        <v>17</v>
      </c>
      <c r="U36" s="714" t="e">
        <f t="shared" si="13"/>
        <v>#N/A</v>
      </c>
      <c r="V36" s="713" t="s">
        <v>17</v>
      </c>
      <c r="W36" s="714" t="e">
        <f t="shared" si="14"/>
        <v>#N/A</v>
      </c>
      <c r="X36" s="1489"/>
      <c r="Y36" s="3471"/>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469"/>
      <c r="Q37" s="1477" t="str">
        <f t="shared" si="11"/>
        <v>市政基础设施</v>
      </c>
      <c r="R37" s="709" t="s">
        <v>17</v>
      </c>
      <c r="S37" s="710">
        <f t="shared" si="12"/>
        <v>100</v>
      </c>
      <c r="T37" s="709" t="s">
        <v>17</v>
      </c>
      <c r="U37" s="710">
        <f t="shared" si="13"/>
        <v>100</v>
      </c>
      <c r="V37" s="709" t="s">
        <v>17</v>
      </c>
      <c r="W37" s="710">
        <f t="shared" si="14"/>
        <v>100</v>
      </c>
      <c r="X37" s="711"/>
      <c r="Y37" s="3471"/>
      <c r="Z37" s="55"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469" t="s">
        <v>2145</v>
      </c>
      <c r="Q38" s="1486" t="str">
        <f t="shared" si="11"/>
        <v>业态</v>
      </c>
      <c r="R38" s="713" t="s">
        <v>17</v>
      </c>
      <c r="S38" s="714">
        <f t="shared" si="12"/>
        <v>100</v>
      </c>
      <c r="T38" s="713" t="s">
        <v>17</v>
      </c>
      <c r="U38" s="714">
        <f t="shared" si="13"/>
        <v>100</v>
      </c>
      <c r="V38" s="713" t="s">
        <v>17</v>
      </c>
      <c r="W38" s="714">
        <f t="shared" si="14"/>
        <v>100</v>
      </c>
      <c r="X38" s="1489"/>
      <c r="Y38" s="3471"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469"/>
      <c r="Q39" s="1486" t="str">
        <f t="shared" si="11"/>
        <v>层高</v>
      </c>
      <c r="R39" s="713" t="s">
        <v>17</v>
      </c>
      <c r="S39" s="714">
        <f t="shared" si="12"/>
        <v>100</v>
      </c>
      <c r="T39" s="713" t="s">
        <v>17</v>
      </c>
      <c r="U39" s="714">
        <f t="shared" si="13"/>
        <v>100</v>
      </c>
      <c r="V39" s="713" t="s">
        <v>17</v>
      </c>
      <c r="W39" s="714">
        <f t="shared" si="14"/>
        <v>100</v>
      </c>
      <c r="X39" s="1489"/>
      <c r="Y39" s="3471"/>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469"/>
      <c r="Q40" s="1486" t="str">
        <f t="shared" si="11"/>
        <v>单套建筑面积</v>
      </c>
      <c r="R40" s="713" t="s">
        <v>17</v>
      </c>
      <c r="S40" s="714">
        <f t="shared" si="12"/>
        <v>100</v>
      </c>
      <c r="T40" s="713" t="s">
        <v>17</v>
      </c>
      <c r="U40" s="714">
        <f t="shared" si="13"/>
        <v>100</v>
      </c>
      <c r="V40" s="713" t="s">
        <v>17</v>
      </c>
      <c r="W40" s="714">
        <f t="shared" si="14"/>
        <v>100</v>
      </c>
      <c r="X40" s="1489"/>
      <c r="Y40" s="3471"/>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469"/>
      <c r="Q41" s="715" t="str">
        <f t="shared" si="11"/>
        <v>进深比</v>
      </c>
      <c r="R41" s="716" t="s">
        <v>17</v>
      </c>
      <c r="S41" s="717">
        <f t="shared" si="12"/>
        <v>100</v>
      </c>
      <c r="T41" s="716" t="s">
        <v>17</v>
      </c>
      <c r="U41" s="717">
        <f t="shared" si="13"/>
        <v>100</v>
      </c>
      <c r="V41" s="716" t="s">
        <v>17</v>
      </c>
      <c r="W41" s="717">
        <f t="shared" si="14"/>
        <v>100</v>
      </c>
      <c r="X41" s="718"/>
      <c r="Y41" s="3471"/>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469"/>
      <c r="Q42" s="1486" t="str">
        <f t="shared" si="11"/>
        <v>内部装修</v>
      </c>
      <c r="R42" s="713" t="s">
        <v>17</v>
      </c>
      <c r="S42" s="714">
        <f t="shared" si="12"/>
        <v>100</v>
      </c>
      <c r="T42" s="713" t="s">
        <v>17</v>
      </c>
      <c r="U42" s="714">
        <f t="shared" si="13"/>
        <v>100</v>
      </c>
      <c r="V42" s="713" t="s">
        <v>17</v>
      </c>
      <c r="W42" s="714">
        <f t="shared" si="14"/>
        <v>100</v>
      </c>
      <c r="X42" s="1489"/>
      <c r="Y42" s="3471"/>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469"/>
      <c r="Q43" s="1486" t="str">
        <f t="shared" si="11"/>
        <v>内部装修维护情况</v>
      </c>
      <c r="R43" s="713" t="s">
        <v>17</v>
      </c>
      <c r="S43" s="714">
        <f t="shared" si="12"/>
        <v>100</v>
      </c>
      <c r="T43" s="713" t="s">
        <v>17</v>
      </c>
      <c r="U43" s="714">
        <f t="shared" si="13"/>
        <v>100</v>
      </c>
      <c r="V43" s="713" t="s">
        <v>17</v>
      </c>
      <c r="W43" s="714">
        <f t="shared" si="14"/>
        <v>100</v>
      </c>
      <c r="X43" s="1489"/>
      <c r="Y43" s="3471"/>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469"/>
      <c r="Q44" s="1477">
        <f t="shared" si="11"/>
        <v>111</v>
      </c>
      <c r="R44" s="709" t="s">
        <v>17</v>
      </c>
      <c r="S44" s="710">
        <f t="shared" si="12"/>
        <v>100</v>
      </c>
      <c r="T44" s="709" t="s">
        <v>17</v>
      </c>
      <c r="U44" s="710">
        <f t="shared" si="13"/>
        <v>100</v>
      </c>
      <c r="V44" s="709" t="s">
        <v>17</v>
      </c>
      <c r="W44" s="710">
        <f t="shared" si="14"/>
        <v>100</v>
      </c>
      <c r="X44" s="711"/>
      <c r="Y44" s="3471"/>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469"/>
      <c r="Q45" s="1486">
        <f t="shared" si="11"/>
        <v>111</v>
      </c>
      <c r="R45" s="713" t="s">
        <v>17</v>
      </c>
      <c r="S45" s="714">
        <f t="shared" si="12"/>
        <v>100</v>
      </c>
      <c r="T45" s="713" t="s">
        <v>17</v>
      </c>
      <c r="U45" s="714">
        <f t="shared" si="13"/>
        <v>100</v>
      </c>
      <c r="V45" s="713" t="s">
        <v>17</v>
      </c>
      <c r="W45" s="714">
        <f t="shared" si="14"/>
        <v>100</v>
      </c>
      <c r="X45" s="1489"/>
      <c r="Y45" s="3471"/>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470"/>
      <c r="Q46" s="1486">
        <f t="shared" si="11"/>
        <v>111</v>
      </c>
      <c r="R46" s="713" t="s">
        <v>17</v>
      </c>
      <c r="S46" s="714">
        <f t="shared" si="12"/>
        <v>100</v>
      </c>
      <c r="T46" s="713" t="s">
        <v>17</v>
      </c>
      <c r="U46" s="714">
        <f t="shared" si="13"/>
        <v>100</v>
      </c>
      <c r="V46" s="713" t="s">
        <v>17</v>
      </c>
      <c r="W46" s="714">
        <f t="shared" si="14"/>
        <v>100</v>
      </c>
      <c r="X46" s="1489"/>
      <c r="Y46" s="3472"/>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464" t="str">
        <f>A47</f>
        <v>成交单价（元/平方米）</v>
      </c>
      <c r="Q47" s="3464"/>
      <c r="R47" s="3495">
        <f>E47</f>
        <v>0</v>
      </c>
      <c r="S47" s="3495"/>
      <c r="T47" s="3495">
        <f>G47</f>
        <v>0</v>
      </c>
      <c r="U47" s="3495"/>
      <c r="V47" s="3495">
        <f>I47</f>
        <v>0</v>
      </c>
      <c r="W47" s="3495"/>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210956.06</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479" t="s">
        <v>2226</v>
      </c>
      <c r="D4" s="3480"/>
      <c r="E4" s="3481" t="s">
        <v>2227</v>
      </c>
      <c r="F4" s="3482"/>
      <c r="G4" s="3479" t="s">
        <v>2228</v>
      </c>
      <c r="H4" s="3480"/>
      <c r="I4" s="3479" t="s">
        <v>2229</v>
      </c>
      <c r="J4" s="3480"/>
      <c r="K4" s="566" t="s">
        <v>2230</v>
      </c>
      <c r="L4" s="2893"/>
      <c r="M4" s="2894"/>
      <c r="N4" s="2894"/>
      <c r="O4" s="2894"/>
      <c r="P4" s="3513" t="s">
        <v>2231</v>
      </c>
      <c r="Q4" s="3514"/>
      <c r="R4" s="3517" t="s">
        <v>2227</v>
      </c>
      <c r="S4" s="3518"/>
      <c r="T4" s="3517" t="s">
        <v>2228</v>
      </c>
      <c r="U4" s="3518"/>
      <c r="V4" s="3519" t="s">
        <v>2229</v>
      </c>
      <c r="W4" s="3519"/>
      <c r="X4" s="2094"/>
      <c r="Y4" s="3517" t="s">
        <v>2231</v>
      </c>
      <c r="Z4" s="3518"/>
      <c r="AA4" s="3521" t="s">
        <v>2227</v>
      </c>
      <c r="AB4" s="3521" t="s">
        <v>2228</v>
      </c>
      <c r="AC4" s="3510" t="s">
        <v>2229</v>
      </c>
    </row>
    <row r="5" spans="1:29" ht="15">
      <c r="A5" s="363"/>
      <c r="B5" s="364"/>
      <c r="C5" s="3498" t="s">
        <v>2122</v>
      </c>
      <c r="D5" s="3499"/>
      <c r="E5" s="3505" t="s">
        <v>2123</v>
      </c>
      <c r="F5" s="3506"/>
      <c r="G5" s="3498" t="s">
        <v>2124</v>
      </c>
      <c r="H5" s="3499"/>
      <c r="I5" s="3498" t="s">
        <v>2125</v>
      </c>
      <c r="J5" s="3499"/>
      <c r="K5" s="566"/>
      <c r="L5" s="2893"/>
      <c r="M5" s="2894"/>
      <c r="N5" s="2894"/>
      <c r="O5" s="2894"/>
      <c r="P5" s="3515"/>
      <c r="Q5" s="3486"/>
      <c r="R5" s="3491"/>
      <c r="S5" s="3492"/>
      <c r="T5" s="3491"/>
      <c r="U5" s="3492"/>
      <c r="V5" s="3495"/>
      <c r="W5" s="3495"/>
      <c r="X5" s="1489"/>
      <c r="Y5" s="3491"/>
      <c r="Z5" s="3492"/>
      <c r="AA5" s="3477"/>
      <c r="AB5" s="3477"/>
      <c r="AC5" s="3511"/>
    </row>
    <row r="6" spans="1:29" ht="15.75" thickBot="1">
      <c r="A6" s="365"/>
      <c r="B6" s="366"/>
      <c r="C6" s="3496" t="s">
        <v>2126</v>
      </c>
      <c r="D6" s="3497"/>
      <c r="E6" s="3503" t="s">
        <v>2126</v>
      </c>
      <c r="F6" s="3504"/>
      <c r="G6" s="3496" t="s">
        <v>2126</v>
      </c>
      <c r="H6" s="3497"/>
      <c r="I6" s="3496" t="s">
        <v>2126</v>
      </c>
      <c r="J6" s="3497"/>
      <c r="K6" s="566" t="s">
        <v>2127</v>
      </c>
      <c r="L6" s="2893"/>
      <c r="M6" s="2894"/>
      <c r="N6" s="2894"/>
      <c r="O6" s="2894"/>
      <c r="P6" s="3516"/>
      <c r="Q6" s="3488"/>
      <c r="R6" s="3491"/>
      <c r="S6" s="3492"/>
      <c r="T6" s="3493"/>
      <c r="U6" s="3494"/>
      <c r="V6" s="3495"/>
      <c r="W6" s="3495"/>
      <c r="X6" s="1489"/>
      <c r="Y6" s="3493"/>
      <c r="Z6" s="3494"/>
      <c r="AA6" s="3478"/>
      <c r="AB6" s="3478"/>
      <c r="AC6" s="3512"/>
    </row>
    <row r="7" spans="1:29" s="112" customFormat="1" ht="15.75" thickBot="1">
      <c r="A7" s="367" t="s">
        <v>2128</v>
      </c>
      <c r="B7" s="368"/>
      <c r="C7" s="369">
        <f>'数据-取费表'!B2</f>
        <v>44823</v>
      </c>
      <c r="D7" s="370">
        <v>100</v>
      </c>
      <c r="E7" s="371"/>
      <c r="F7" s="372">
        <f>SUMIF(59:59,YEAR(E7)&amp;"-"&amp;MONTH(E7),60:60)</f>
        <v>0</v>
      </c>
      <c r="G7" s="371"/>
      <c r="H7" s="370">
        <f>SUMIF(59:59,YEAR(G7)&amp;"-"&amp;MONTH(G7),60:60)</f>
        <v>0</v>
      </c>
      <c r="I7" s="371"/>
      <c r="J7" s="370">
        <f>SUMIF(59:59,YEAR(I7)&amp;"-"&amp;MONTH(I7),60:60)</f>
        <v>0</v>
      </c>
      <c r="K7" s="567"/>
      <c r="L7" s="2895"/>
      <c r="M7" s="2896"/>
      <c r="N7" s="2896"/>
      <c r="O7" s="2896"/>
      <c r="P7" s="3520" t="s">
        <v>2129</v>
      </c>
      <c r="Q7" s="3502"/>
      <c r="R7" s="709" t="s">
        <v>17</v>
      </c>
      <c r="S7" s="710">
        <f t="shared" ref="S7:S15" si="0">F7</f>
        <v>0</v>
      </c>
      <c r="T7" s="709" t="s">
        <v>17</v>
      </c>
      <c r="U7" s="710">
        <f t="shared" ref="U7:U15" si="1">H7</f>
        <v>0</v>
      </c>
      <c r="V7" s="709" t="s">
        <v>17</v>
      </c>
      <c r="W7" s="710">
        <f t="shared" ref="W7:W15" si="2">J7</f>
        <v>0</v>
      </c>
      <c r="X7" s="711"/>
      <c r="Y7" s="3500" t="s">
        <v>2129</v>
      </c>
      <c r="Z7" s="3501"/>
      <c r="AA7" s="712" t="e">
        <f>D7/F7</f>
        <v>#DIV/0!</v>
      </c>
      <c r="AB7" s="712" t="e">
        <f>D7/H7</f>
        <v>#DIV/0!</v>
      </c>
      <c r="AC7" s="2095"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520" t="s">
        <v>2132</v>
      </c>
      <c r="Q8" s="3501"/>
      <c r="R8" s="709" t="s">
        <v>17</v>
      </c>
      <c r="S8" s="710">
        <f t="shared" si="0"/>
        <v>0</v>
      </c>
      <c r="T8" s="709" t="s">
        <v>17</v>
      </c>
      <c r="U8" s="710">
        <f t="shared" si="1"/>
        <v>0</v>
      </c>
      <c r="V8" s="709" t="s">
        <v>17</v>
      </c>
      <c r="W8" s="710">
        <f t="shared" si="2"/>
        <v>0</v>
      </c>
      <c r="X8" s="711"/>
      <c r="Y8" s="3500" t="s">
        <v>2132</v>
      </c>
      <c r="Z8" s="3501"/>
      <c r="AA8" s="712" t="e">
        <f t="shared" ref="AA8:AA47" si="3">D8/F8</f>
        <v>#DIV/0!</v>
      </c>
      <c r="AB8" s="712" t="e">
        <f t="shared" ref="AB8:AB47" si="4">D8/H8</f>
        <v>#DIV/0!</v>
      </c>
      <c r="AC8" s="2095" t="e">
        <f t="shared" ref="AC8:AC47" si="5">D8/J8</f>
        <v>#DIV/0!</v>
      </c>
    </row>
    <row r="9" spans="1:29" s="112"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475" t="s">
        <v>2135</v>
      </c>
      <c r="Q9" s="1477" t="str">
        <f t="shared" ref="Q9:Q15" si="6">B9</f>
        <v>用途</v>
      </c>
      <c r="R9" s="709" t="s">
        <v>17</v>
      </c>
      <c r="S9" s="710">
        <f t="shared" si="0"/>
        <v>100</v>
      </c>
      <c r="T9" s="709" t="s">
        <v>17</v>
      </c>
      <c r="U9" s="710">
        <f t="shared" si="1"/>
        <v>100</v>
      </c>
      <c r="V9" s="709" t="s">
        <v>17</v>
      </c>
      <c r="W9" s="710">
        <f t="shared" si="2"/>
        <v>100</v>
      </c>
      <c r="X9" s="711"/>
      <c r="Y9" s="3336" t="s">
        <v>2136</v>
      </c>
      <c r="Z9" s="55" t="str">
        <f t="shared" ref="Z9:Z15" si="7">Q9</f>
        <v>用途</v>
      </c>
      <c r="AA9" s="712">
        <f t="shared" si="3"/>
        <v>1</v>
      </c>
      <c r="AB9" s="712">
        <f t="shared" si="4"/>
        <v>1</v>
      </c>
      <c r="AC9" s="2095">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475"/>
      <c r="Q10" s="1477" t="str">
        <f t="shared" si="6"/>
        <v>土地使用年限（年）</v>
      </c>
      <c r="R10" s="709" t="s">
        <v>17</v>
      </c>
      <c r="S10" s="710">
        <f t="shared" si="0"/>
        <v>100</v>
      </c>
      <c r="T10" s="709" t="s">
        <v>17</v>
      </c>
      <c r="U10" s="710">
        <f t="shared" si="1"/>
        <v>100</v>
      </c>
      <c r="V10" s="709" t="s">
        <v>17</v>
      </c>
      <c r="W10" s="710">
        <f t="shared" si="2"/>
        <v>100</v>
      </c>
      <c r="X10" s="711"/>
      <c r="Y10" s="3336"/>
      <c r="Z10" s="55"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475"/>
      <c r="Q11" s="1477" t="str">
        <f t="shared" si="6"/>
        <v>容积率</v>
      </c>
      <c r="R11" s="709" t="s">
        <v>17</v>
      </c>
      <c r="S11" s="710" t="e">
        <f t="shared" si="0"/>
        <v>#N/A</v>
      </c>
      <c r="T11" s="709" t="s">
        <v>17</v>
      </c>
      <c r="U11" s="710" t="e">
        <f t="shared" si="1"/>
        <v>#N/A</v>
      </c>
      <c r="V11" s="709" t="s">
        <v>17</v>
      </c>
      <c r="W11" s="710" t="e">
        <f t="shared" si="2"/>
        <v>#N/A</v>
      </c>
      <c r="X11" s="711"/>
      <c r="Y11" s="3336"/>
      <c r="Z11" s="55"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475"/>
      <c r="Q12" s="1477">
        <f t="shared" si="6"/>
        <v>111</v>
      </c>
      <c r="R12" s="709" t="s">
        <v>17</v>
      </c>
      <c r="S12" s="710">
        <f t="shared" si="0"/>
        <v>100</v>
      </c>
      <c r="T12" s="709" t="s">
        <v>17</v>
      </c>
      <c r="U12" s="710">
        <f t="shared" si="1"/>
        <v>100</v>
      </c>
      <c r="V12" s="709" t="s">
        <v>17</v>
      </c>
      <c r="W12" s="710">
        <f t="shared" si="2"/>
        <v>100</v>
      </c>
      <c r="X12" s="711"/>
      <c r="Y12" s="3336"/>
      <c r="Z12" s="55">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475"/>
      <c r="Q13" s="1477">
        <f t="shared" si="6"/>
        <v>111</v>
      </c>
      <c r="R13" s="709" t="s">
        <v>17</v>
      </c>
      <c r="S13" s="710">
        <f t="shared" si="0"/>
        <v>100</v>
      </c>
      <c r="T13" s="709" t="s">
        <v>17</v>
      </c>
      <c r="U13" s="710">
        <f t="shared" si="1"/>
        <v>100</v>
      </c>
      <c r="V13" s="709" t="s">
        <v>17</v>
      </c>
      <c r="W13" s="710">
        <f t="shared" si="2"/>
        <v>100</v>
      </c>
      <c r="X13" s="711"/>
      <c r="Y13" s="3336"/>
      <c r="Z13" s="55">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475"/>
      <c r="Q14" s="1477">
        <f t="shared" si="6"/>
        <v>111</v>
      </c>
      <c r="R14" s="709" t="s">
        <v>17</v>
      </c>
      <c r="S14" s="710">
        <f t="shared" si="0"/>
        <v>100</v>
      </c>
      <c r="T14" s="709" t="s">
        <v>17</v>
      </c>
      <c r="U14" s="710">
        <f t="shared" si="1"/>
        <v>100</v>
      </c>
      <c r="V14" s="709" t="s">
        <v>17</v>
      </c>
      <c r="W14" s="710">
        <f t="shared" si="2"/>
        <v>100</v>
      </c>
      <c r="X14" s="711"/>
      <c r="Y14" s="3336"/>
      <c r="Z14" s="55">
        <f t="shared" si="7"/>
        <v>111</v>
      </c>
      <c r="AA14" s="712">
        <f t="shared" si="3"/>
        <v>1</v>
      </c>
      <c r="AB14" s="712">
        <f t="shared" si="4"/>
        <v>1</v>
      </c>
      <c r="AC14" s="2095">
        <f t="shared" si="5"/>
        <v>1</v>
      </c>
    </row>
    <row r="15" spans="1:29" ht="71.25">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473" t="s">
        <v>2140</v>
      </c>
      <c r="Q15" s="1486" t="str">
        <f t="shared" si="6"/>
        <v>办公集聚程度</v>
      </c>
      <c r="R15" s="713" t="s">
        <v>17</v>
      </c>
      <c r="S15" s="714">
        <f t="shared" si="0"/>
        <v>100</v>
      </c>
      <c r="T15" s="713" t="s">
        <v>17</v>
      </c>
      <c r="U15" s="714">
        <f t="shared" si="1"/>
        <v>100</v>
      </c>
      <c r="V15" s="713" t="s">
        <v>17</v>
      </c>
      <c r="W15" s="714">
        <f t="shared" si="2"/>
        <v>100</v>
      </c>
      <c r="X15" s="1489"/>
      <c r="Y15" s="3466"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474"/>
      <c r="Q16" s="1486"/>
      <c r="R16" s="713"/>
      <c r="S16" s="714"/>
      <c r="T16" s="713"/>
      <c r="U16" s="714"/>
      <c r="V16" s="713"/>
      <c r="W16" s="714"/>
      <c r="X16" s="1489"/>
      <c r="Y16" s="3467"/>
      <c r="Z16" s="1490"/>
      <c r="AA16" s="1487">
        <v>1</v>
      </c>
      <c r="AB16" s="1487">
        <v>1</v>
      </c>
      <c r="AC16" s="2098">
        <v>1</v>
      </c>
    </row>
    <row r="17" spans="1:29" ht="71.25">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474"/>
      <c r="Q17" s="1486" t="str">
        <f>B17</f>
        <v>交通便捷度</v>
      </c>
      <c r="R17" s="713" t="s">
        <v>17</v>
      </c>
      <c r="S17" s="714">
        <f>F17</f>
        <v>100</v>
      </c>
      <c r="T17" s="713" t="s">
        <v>17</v>
      </c>
      <c r="U17" s="714">
        <f>H17</f>
        <v>100</v>
      </c>
      <c r="V17" s="713" t="s">
        <v>17</v>
      </c>
      <c r="W17" s="714">
        <f>J17</f>
        <v>100</v>
      </c>
      <c r="X17" s="1489"/>
      <c r="Y17" s="3467"/>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474"/>
      <c r="Q18" s="1486"/>
      <c r="R18" s="713"/>
      <c r="S18" s="714"/>
      <c r="T18" s="713"/>
      <c r="U18" s="714"/>
      <c r="V18" s="713"/>
      <c r="W18" s="714"/>
      <c r="X18" s="1489"/>
      <c r="Y18" s="3467"/>
      <c r="Z18" s="1490"/>
      <c r="AA18" s="1487">
        <v>1</v>
      </c>
      <c r="AB18" s="1487">
        <v>1</v>
      </c>
      <c r="AC18" s="2098">
        <v>1</v>
      </c>
    </row>
    <row r="19" spans="1:29" ht="42.75">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474"/>
      <c r="Q19" s="1486" t="str">
        <f>B19</f>
        <v>公共配套设施</v>
      </c>
      <c r="R19" s="713" t="s">
        <v>17</v>
      </c>
      <c r="S19" s="714">
        <f>F19</f>
        <v>100</v>
      </c>
      <c r="T19" s="713" t="s">
        <v>17</v>
      </c>
      <c r="U19" s="714">
        <f>H19</f>
        <v>100</v>
      </c>
      <c r="V19" s="713" t="s">
        <v>17</v>
      </c>
      <c r="W19" s="714">
        <f>J19</f>
        <v>100</v>
      </c>
      <c r="X19" s="1489"/>
      <c r="Y19" s="3467"/>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474"/>
      <c r="Q20" s="1486"/>
      <c r="R20" s="713"/>
      <c r="S20" s="714"/>
      <c r="T20" s="713"/>
      <c r="U20" s="714"/>
      <c r="V20" s="713"/>
      <c r="W20" s="714"/>
      <c r="X20" s="1489"/>
      <c r="Y20" s="3467"/>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474"/>
      <c r="Q21" s="1486" t="str">
        <f>B21</f>
        <v>基础设施水平</v>
      </c>
      <c r="R21" s="713" t="s">
        <v>17</v>
      </c>
      <c r="S21" s="714">
        <f>F21</f>
        <v>100</v>
      </c>
      <c r="T21" s="713" t="s">
        <v>17</v>
      </c>
      <c r="U21" s="714">
        <f>H21</f>
        <v>100</v>
      </c>
      <c r="V21" s="713" t="s">
        <v>17</v>
      </c>
      <c r="W21" s="714">
        <f>J21</f>
        <v>100</v>
      </c>
      <c r="X21" s="1489"/>
      <c r="Y21" s="3467"/>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474"/>
      <c r="Q22" s="1486"/>
      <c r="R22" s="713"/>
      <c r="S22" s="714"/>
      <c r="T22" s="713"/>
      <c r="U22" s="714"/>
      <c r="V22" s="713"/>
      <c r="W22" s="714"/>
      <c r="X22" s="1489"/>
      <c r="Y22" s="3467"/>
      <c r="Z22" s="1490"/>
      <c r="AA22" s="1487">
        <v>1</v>
      </c>
      <c r="AB22" s="1487">
        <v>1</v>
      </c>
      <c r="AC22" s="2098">
        <v>1</v>
      </c>
    </row>
    <row r="23" spans="1:29" ht="42.75">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474"/>
      <c r="Q23" s="1486" t="str">
        <f>B23</f>
        <v>环境质量</v>
      </c>
      <c r="R23" s="713" t="s">
        <v>17</v>
      </c>
      <c r="S23" s="714">
        <f>F23</f>
        <v>100</v>
      </c>
      <c r="T23" s="713" t="s">
        <v>17</v>
      </c>
      <c r="U23" s="714">
        <f>H23</f>
        <v>100</v>
      </c>
      <c r="V23" s="713" t="s">
        <v>17</v>
      </c>
      <c r="W23" s="714">
        <f>J23</f>
        <v>100</v>
      </c>
      <c r="X23" s="1489"/>
      <c r="Y23" s="3467"/>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474"/>
      <c r="Q24" s="1486"/>
      <c r="R24" s="713"/>
      <c r="S24" s="714"/>
      <c r="T24" s="713"/>
      <c r="U24" s="714"/>
      <c r="V24" s="713"/>
      <c r="W24" s="714"/>
      <c r="X24" s="1489"/>
      <c r="Y24" s="3467"/>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474"/>
      <c r="Q25" s="1486" t="str">
        <f>B25</f>
        <v>毗邻道路的类型与等级</v>
      </c>
      <c r="R25" s="713" t="s">
        <v>17</v>
      </c>
      <c r="S25" s="714">
        <f>F25</f>
        <v>100</v>
      </c>
      <c r="T25" s="713" t="s">
        <v>17</v>
      </c>
      <c r="U25" s="714">
        <f>H25</f>
        <v>100</v>
      </c>
      <c r="V25" s="713" t="s">
        <v>17</v>
      </c>
      <c r="W25" s="714">
        <f>J25</f>
        <v>100</v>
      </c>
      <c r="X25" s="1489"/>
      <c r="Y25" s="3467"/>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474"/>
      <c r="Q26" s="1486"/>
      <c r="R26" s="713"/>
      <c r="S26" s="714"/>
      <c r="T26" s="713"/>
      <c r="U26" s="714"/>
      <c r="V26" s="713"/>
      <c r="W26" s="714"/>
      <c r="X26" s="1489"/>
      <c r="Y26" s="3467"/>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474"/>
      <c r="Q27" s="1486" t="str">
        <f t="shared" ref="Q27:Q47" si="11">B27</f>
        <v>楼层</v>
      </c>
      <c r="R27" s="713" t="s">
        <v>17</v>
      </c>
      <c r="S27" s="714">
        <f>F27</f>
        <v>100</v>
      </c>
      <c r="T27" s="713" t="s">
        <v>17</v>
      </c>
      <c r="U27" s="714">
        <f>H27</f>
        <v>100</v>
      </c>
      <c r="V27" s="713" t="s">
        <v>17</v>
      </c>
      <c r="W27" s="714">
        <f>J27</f>
        <v>100</v>
      </c>
      <c r="X27" s="1489"/>
      <c r="Y27" s="3467"/>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474"/>
      <c r="Q28" s="1477" t="str">
        <f t="shared" si="11"/>
        <v>朝向</v>
      </c>
      <c r="R28" s="709" t="s">
        <v>17</v>
      </c>
      <c r="S28" s="710">
        <f>F28</f>
        <v>100</v>
      </c>
      <c r="T28" s="709" t="s">
        <v>17</v>
      </c>
      <c r="U28" s="710">
        <f>H28</f>
        <v>100</v>
      </c>
      <c r="V28" s="709" t="s">
        <v>17</v>
      </c>
      <c r="W28" s="710">
        <f>J28</f>
        <v>100</v>
      </c>
      <c r="X28" s="711"/>
      <c r="Y28" s="3467"/>
      <c r="Z28" s="55"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474"/>
      <c r="Q29" s="1486">
        <f t="shared" si="11"/>
        <v>111</v>
      </c>
      <c r="R29" s="713" t="s">
        <v>17</v>
      </c>
      <c r="S29" s="714">
        <f t="shared" ref="S29:S47" si="12">F29</f>
        <v>100</v>
      </c>
      <c r="T29" s="713" t="s">
        <v>17</v>
      </c>
      <c r="U29" s="714">
        <f t="shared" ref="U29:U47" si="13">H29</f>
        <v>100</v>
      </c>
      <c r="V29" s="713" t="s">
        <v>17</v>
      </c>
      <c r="W29" s="714">
        <f t="shared" ref="W29:W47" si="14">J29</f>
        <v>100</v>
      </c>
      <c r="X29" s="1489"/>
      <c r="Y29" s="3467"/>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474"/>
      <c r="Q30" s="1486">
        <f t="shared" si="11"/>
        <v>111</v>
      </c>
      <c r="R30" s="713" t="s">
        <v>17</v>
      </c>
      <c r="S30" s="714">
        <f t="shared" si="12"/>
        <v>100</v>
      </c>
      <c r="T30" s="713" t="s">
        <v>17</v>
      </c>
      <c r="U30" s="714">
        <f t="shared" si="13"/>
        <v>100</v>
      </c>
      <c r="V30" s="713" t="s">
        <v>17</v>
      </c>
      <c r="W30" s="714">
        <f t="shared" si="14"/>
        <v>100</v>
      </c>
      <c r="X30" s="1489"/>
      <c r="Y30" s="3467"/>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474"/>
      <c r="Q31" s="1486">
        <f t="shared" si="11"/>
        <v>111</v>
      </c>
      <c r="R31" s="713" t="s">
        <v>17</v>
      </c>
      <c r="S31" s="714">
        <f t="shared" si="12"/>
        <v>100</v>
      </c>
      <c r="T31" s="713" t="s">
        <v>17</v>
      </c>
      <c r="U31" s="714">
        <f t="shared" si="13"/>
        <v>100</v>
      </c>
      <c r="V31" s="713" t="s">
        <v>17</v>
      </c>
      <c r="W31" s="714">
        <f t="shared" si="14"/>
        <v>100</v>
      </c>
      <c r="X31" s="1489"/>
      <c r="Y31" s="3467"/>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474"/>
      <c r="Q32" s="1486">
        <f t="shared" si="11"/>
        <v>111</v>
      </c>
      <c r="R32" s="713" t="s">
        <v>17</v>
      </c>
      <c r="S32" s="714">
        <f t="shared" si="12"/>
        <v>100</v>
      </c>
      <c r="T32" s="713" t="s">
        <v>17</v>
      </c>
      <c r="U32" s="714">
        <f t="shared" si="13"/>
        <v>100</v>
      </c>
      <c r="V32" s="713" t="s">
        <v>17</v>
      </c>
      <c r="W32" s="714">
        <f t="shared" si="14"/>
        <v>100</v>
      </c>
      <c r="X32" s="1489"/>
      <c r="Y32" s="3467"/>
      <c r="Z32" s="1490">
        <f t="shared" si="15"/>
        <v>111</v>
      </c>
      <c r="AA32" s="1487">
        <f t="shared" si="3"/>
        <v>1</v>
      </c>
      <c r="AB32" s="1487">
        <f t="shared" si="4"/>
        <v>1</v>
      </c>
      <c r="AC32" s="2098">
        <f t="shared" si="5"/>
        <v>1</v>
      </c>
    </row>
    <row r="33" spans="1:29" ht="15">
      <c r="A33" s="398" t="s">
        <v>2143</v>
      </c>
      <c r="B33" s="67"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468" t="s">
        <v>2145</v>
      </c>
      <c r="Q33" s="1486" t="str">
        <f t="shared" si="11"/>
        <v>建筑类型</v>
      </c>
      <c r="R33" s="713" t="s">
        <v>17</v>
      </c>
      <c r="S33" s="714">
        <f t="shared" si="12"/>
        <v>100</v>
      </c>
      <c r="T33" s="713" t="s">
        <v>17</v>
      </c>
      <c r="U33" s="714">
        <f t="shared" si="13"/>
        <v>100</v>
      </c>
      <c r="V33" s="713" t="s">
        <v>17</v>
      </c>
      <c r="W33" s="714">
        <f t="shared" si="14"/>
        <v>100</v>
      </c>
      <c r="X33" s="1489"/>
      <c r="Y33" s="3471"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469"/>
      <c r="Q34" s="715" t="str">
        <f t="shared" si="11"/>
        <v>项目建筑规模</v>
      </c>
      <c r="R34" s="716" t="s">
        <v>17</v>
      </c>
      <c r="S34" s="717" t="e">
        <f t="shared" si="12"/>
        <v>#N/A</v>
      </c>
      <c r="T34" s="716" t="s">
        <v>17</v>
      </c>
      <c r="U34" s="717" t="e">
        <f t="shared" si="13"/>
        <v>#N/A</v>
      </c>
      <c r="V34" s="716" t="s">
        <v>17</v>
      </c>
      <c r="W34" s="717" t="e">
        <f t="shared" si="14"/>
        <v>#N/A</v>
      </c>
      <c r="X34" s="718"/>
      <c r="Y34" s="3471"/>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469"/>
      <c r="Q35" s="1486" t="str">
        <f t="shared" si="11"/>
        <v>建筑结构</v>
      </c>
      <c r="R35" s="713" t="s">
        <v>17</v>
      </c>
      <c r="S35" s="714">
        <f t="shared" si="12"/>
        <v>100</v>
      </c>
      <c r="T35" s="713" t="s">
        <v>17</v>
      </c>
      <c r="U35" s="714">
        <f t="shared" si="13"/>
        <v>100</v>
      </c>
      <c r="V35" s="713" t="s">
        <v>17</v>
      </c>
      <c r="W35" s="714">
        <f t="shared" si="14"/>
        <v>100</v>
      </c>
      <c r="X35" s="1489"/>
      <c r="Y35" s="3471"/>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469"/>
      <c r="Q36" s="1486" t="str">
        <f t="shared" si="11"/>
        <v>公共部分装修</v>
      </c>
      <c r="R36" s="713" t="s">
        <v>17</v>
      </c>
      <c r="S36" s="714">
        <f t="shared" si="12"/>
        <v>100</v>
      </c>
      <c r="T36" s="713" t="s">
        <v>17</v>
      </c>
      <c r="U36" s="714">
        <f t="shared" si="13"/>
        <v>100</v>
      </c>
      <c r="V36" s="713" t="s">
        <v>17</v>
      </c>
      <c r="W36" s="714">
        <f t="shared" si="14"/>
        <v>100</v>
      </c>
      <c r="X36" s="1489"/>
      <c r="Y36" s="3471"/>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469"/>
      <c r="Q37" s="1486" t="str">
        <f t="shared" si="11"/>
        <v>成新度</v>
      </c>
      <c r="R37" s="713" t="s">
        <v>17</v>
      </c>
      <c r="S37" s="714" t="e">
        <f t="shared" si="12"/>
        <v>#N/A</v>
      </c>
      <c r="T37" s="713" t="s">
        <v>17</v>
      </c>
      <c r="U37" s="714" t="e">
        <f t="shared" si="13"/>
        <v>#N/A</v>
      </c>
      <c r="V37" s="713" t="s">
        <v>17</v>
      </c>
      <c r="W37" s="714" t="e">
        <f t="shared" si="14"/>
        <v>#N/A</v>
      </c>
      <c r="X37" s="1489"/>
      <c r="Y37" s="3471"/>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469"/>
      <c r="Q38" s="1477" t="str">
        <f t="shared" si="11"/>
        <v>写字楼等级</v>
      </c>
      <c r="R38" s="709" t="s">
        <v>17</v>
      </c>
      <c r="S38" s="710">
        <f t="shared" si="12"/>
        <v>100</v>
      </c>
      <c r="T38" s="709" t="s">
        <v>17</v>
      </c>
      <c r="U38" s="710">
        <f t="shared" si="13"/>
        <v>100</v>
      </c>
      <c r="V38" s="709" t="s">
        <v>17</v>
      </c>
      <c r="W38" s="710">
        <f t="shared" si="14"/>
        <v>100</v>
      </c>
      <c r="X38" s="711"/>
      <c r="Y38" s="3471"/>
      <c r="Z38" s="55"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469" t="s">
        <v>2145</v>
      </c>
      <c r="Q39" s="1486" t="str">
        <f t="shared" si="11"/>
        <v>物业管理</v>
      </c>
      <c r="R39" s="713" t="s">
        <v>17</v>
      </c>
      <c r="S39" s="714">
        <f t="shared" si="12"/>
        <v>100</v>
      </c>
      <c r="T39" s="713" t="s">
        <v>17</v>
      </c>
      <c r="U39" s="714">
        <f t="shared" si="13"/>
        <v>100</v>
      </c>
      <c r="V39" s="713" t="s">
        <v>17</v>
      </c>
      <c r="W39" s="714">
        <f t="shared" si="14"/>
        <v>100</v>
      </c>
      <c r="X39" s="1489"/>
      <c r="Y39" s="3471"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469"/>
      <c r="Q40" s="1486" t="str">
        <f t="shared" si="11"/>
        <v>市政基础设施</v>
      </c>
      <c r="R40" s="713" t="s">
        <v>17</v>
      </c>
      <c r="S40" s="714">
        <f t="shared" si="12"/>
        <v>100</v>
      </c>
      <c r="T40" s="713" t="s">
        <v>17</v>
      </c>
      <c r="U40" s="714">
        <f t="shared" si="13"/>
        <v>100</v>
      </c>
      <c r="V40" s="713" t="s">
        <v>17</v>
      </c>
      <c r="W40" s="714">
        <f t="shared" si="14"/>
        <v>100</v>
      </c>
      <c r="X40" s="1489"/>
      <c r="Y40" s="3471"/>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469"/>
      <c r="Q41" s="1486" t="str">
        <f t="shared" si="11"/>
        <v>层高</v>
      </c>
      <c r="R41" s="713" t="s">
        <v>17</v>
      </c>
      <c r="S41" s="714">
        <f t="shared" si="12"/>
        <v>100</v>
      </c>
      <c r="T41" s="713" t="s">
        <v>17</v>
      </c>
      <c r="U41" s="714">
        <f t="shared" si="13"/>
        <v>100</v>
      </c>
      <c r="V41" s="713" t="s">
        <v>17</v>
      </c>
      <c r="W41" s="714">
        <f t="shared" si="14"/>
        <v>100</v>
      </c>
      <c r="X41" s="1489"/>
      <c r="Y41" s="3471"/>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469"/>
      <c r="Q42" s="715" t="str">
        <f t="shared" si="11"/>
        <v>单套建筑面积</v>
      </c>
      <c r="R42" s="716" t="s">
        <v>17</v>
      </c>
      <c r="S42" s="717">
        <f t="shared" si="12"/>
        <v>100</v>
      </c>
      <c r="T42" s="716" t="s">
        <v>17</v>
      </c>
      <c r="U42" s="717">
        <f t="shared" si="13"/>
        <v>100</v>
      </c>
      <c r="V42" s="716" t="s">
        <v>17</v>
      </c>
      <c r="W42" s="717">
        <f t="shared" si="14"/>
        <v>100</v>
      </c>
      <c r="X42" s="718"/>
      <c r="Y42" s="3471"/>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469"/>
      <c r="Q43" s="1486" t="str">
        <f t="shared" si="11"/>
        <v>内部装修</v>
      </c>
      <c r="R43" s="713" t="s">
        <v>17</v>
      </c>
      <c r="S43" s="714">
        <f t="shared" si="12"/>
        <v>100</v>
      </c>
      <c r="T43" s="713" t="s">
        <v>17</v>
      </c>
      <c r="U43" s="714">
        <f t="shared" si="13"/>
        <v>100</v>
      </c>
      <c r="V43" s="713" t="s">
        <v>17</v>
      </c>
      <c r="W43" s="714">
        <f t="shared" si="14"/>
        <v>100</v>
      </c>
      <c r="X43" s="1489"/>
      <c r="Y43" s="3471"/>
      <c r="Z43" s="1490" t="str">
        <f t="shared" si="15"/>
        <v>内部装修</v>
      </c>
      <c r="AA43" s="1487">
        <f t="shared" si="3"/>
        <v>1</v>
      </c>
      <c r="AB43" s="1487">
        <f t="shared" si="4"/>
        <v>1</v>
      </c>
      <c r="AC43" s="2098">
        <f t="shared" si="5"/>
        <v>1</v>
      </c>
    </row>
    <row r="44" spans="1:29" ht="15">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469"/>
      <c r="Q44" s="1486" t="str">
        <f t="shared" si="11"/>
        <v>内部装修维护情况</v>
      </c>
      <c r="R44" s="713" t="s">
        <v>17</v>
      </c>
      <c r="S44" s="714">
        <f t="shared" si="12"/>
        <v>100</v>
      </c>
      <c r="T44" s="713" t="s">
        <v>17</v>
      </c>
      <c r="U44" s="714">
        <f t="shared" si="13"/>
        <v>100</v>
      </c>
      <c r="V44" s="713" t="s">
        <v>17</v>
      </c>
      <c r="W44" s="714">
        <f t="shared" si="14"/>
        <v>100</v>
      </c>
      <c r="X44" s="1489"/>
      <c r="Y44" s="3471"/>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469"/>
      <c r="Q45" s="1477">
        <f t="shared" si="11"/>
        <v>111</v>
      </c>
      <c r="R45" s="709" t="s">
        <v>17</v>
      </c>
      <c r="S45" s="710">
        <f t="shared" si="12"/>
        <v>100</v>
      </c>
      <c r="T45" s="709" t="s">
        <v>17</v>
      </c>
      <c r="U45" s="710">
        <f t="shared" si="13"/>
        <v>100</v>
      </c>
      <c r="V45" s="709" t="s">
        <v>17</v>
      </c>
      <c r="W45" s="710">
        <f t="shared" si="14"/>
        <v>100</v>
      </c>
      <c r="X45" s="711"/>
      <c r="Y45" s="3471"/>
      <c r="Z45" s="55">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469"/>
      <c r="Q46" s="1486">
        <f t="shared" si="11"/>
        <v>111</v>
      </c>
      <c r="R46" s="713" t="s">
        <v>17</v>
      </c>
      <c r="S46" s="714">
        <f t="shared" si="12"/>
        <v>100</v>
      </c>
      <c r="T46" s="713" t="s">
        <v>17</v>
      </c>
      <c r="U46" s="714">
        <f t="shared" si="13"/>
        <v>100</v>
      </c>
      <c r="V46" s="713" t="s">
        <v>17</v>
      </c>
      <c r="W46" s="714">
        <f t="shared" si="14"/>
        <v>100</v>
      </c>
      <c r="X46" s="1489"/>
      <c r="Y46" s="3471"/>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470"/>
      <c r="Q47" s="1486">
        <f t="shared" si="11"/>
        <v>111</v>
      </c>
      <c r="R47" s="713" t="s">
        <v>17</v>
      </c>
      <c r="S47" s="714">
        <f t="shared" si="12"/>
        <v>100</v>
      </c>
      <c r="T47" s="713" t="s">
        <v>17</v>
      </c>
      <c r="U47" s="714">
        <f t="shared" si="13"/>
        <v>100</v>
      </c>
      <c r="V47" s="713" t="s">
        <v>17</v>
      </c>
      <c r="W47" s="714">
        <f t="shared" si="14"/>
        <v>100</v>
      </c>
      <c r="X47" s="1489"/>
      <c r="Y47" s="3472"/>
      <c r="Z47" s="1490">
        <f t="shared" si="15"/>
        <v>111</v>
      </c>
      <c r="AA47" s="1487">
        <f t="shared" si="3"/>
        <v>1</v>
      </c>
      <c r="AB47" s="1487">
        <f t="shared" si="4"/>
        <v>1</v>
      </c>
      <c r="AC47" s="2098">
        <f t="shared" si="5"/>
        <v>1</v>
      </c>
    </row>
    <row r="48" spans="1:29" ht="15">
      <c r="A48" s="437" t="s">
        <v>2157</v>
      </c>
      <c r="B48" s="438"/>
      <c r="C48" s="1268" t="s">
        <v>1</v>
      </c>
      <c r="D48" s="1269"/>
      <c r="E48" s="1270"/>
      <c r="F48" s="1271"/>
      <c r="G48" s="1272"/>
      <c r="H48" s="1273"/>
      <c r="I48" s="1270"/>
      <c r="J48" s="443"/>
      <c r="K48" s="722"/>
      <c r="L48" s="2902"/>
      <c r="M48" s="2894"/>
      <c r="N48" s="2894"/>
      <c r="O48" s="2894"/>
      <c r="P48" s="3475" t="str">
        <f>A48</f>
        <v>成交单价（元/平方米）</v>
      </c>
      <c r="Q48" s="3464"/>
      <c r="R48" s="3465">
        <f>E48</f>
        <v>0</v>
      </c>
      <c r="S48" s="3465"/>
      <c r="T48" s="3465">
        <f>G48</f>
        <v>0</v>
      </c>
      <c r="U48" s="3465"/>
      <c r="V48" s="3465">
        <f>I48</f>
        <v>0</v>
      </c>
      <c r="W48" s="3465"/>
      <c r="X48" s="404"/>
      <c r="Y48" s="720"/>
      <c r="Z48" s="404"/>
      <c r="AA48" s="404"/>
      <c r="AB48" s="404"/>
      <c r="AC48" s="585"/>
    </row>
    <row r="49" spans="1:29" ht="15.75" thickBot="1">
      <c r="A49" s="444" t="s">
        <v>2249</v>
      </c>
      <c r="B49" s="445"/>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475" t="str">
        <f>A49</f>
        <v>比较价值（元/平方米）</v>
      </c>
      <c r="Q49" s="34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2"/>
      <c r="M50" s="2894"/>
      <c r="N50" s="2894"/>
      <c r="O50" s="2894"/>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210956.06</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79" t="s">
        <v>2226</v>
      </c>
      <c r="D4" s="3480"/>
      <c r="E4" s="3481" t="s">
        <v>2227</v>
      </c>
      <c r="F4" s="3482"/>
      <c r="G4" s="3479" t="s">
        <v>2228</v>
      </c>
      <c r="H4" s="3480"/>
      <c r="I4" s="3479" t="s">
        <v>2229</v>
      </c>
      <c r="J4" s="3480"/>
      <c r="K4" s="566" t="s">
        <v>2230</v>
      </c>
      <c r="L4" s="1024"/>
      <c r="M4" s="1025"/>
      <c r="N4" s="1025"/>
      <c r="O4" s="1025"/>
      <c r="P4" s="3483" t="s">
        <v>2231</v>
      </c>
      <c r="Q4" s="3484"/>
      <c r="R4" s="3489" t="s">
        <v>2227</v>
      </c>
      <c r="S4" s="3490"/>
      <c r="T4" s="3489" t="s">
        <v>2228</v>
      </c>
      <c r="U4" s="3490"/>
      <c r="V4" s="3495" t="s">
        <v>2229</v>
      </c>
      <c r="W4" s="3495"/>
      <c r="X4" s="1489"/>
      <c r="Y4" s="3489" t="s">
        <v>2231</v>
      </c>
      <c r="Z4" s="3490"/>
      <c r="AA4" s="3476" t="s">
        <v>2227</v>
      </c>
      <c r="AB4" s="3477" t="s">
        <v>2228</v>
      </c>
      <c r="AC4" s="3476" t="s">
        <v>2229</v>
      </c>
    </row>
    <row r="5" spans="1:29" ht="15">
      <c r="A5" s="363"/>
      <c r="B5" s="364"/>
      <c r="C5" s="3498" t="s">
        <v>2122</v>
      </c>
      <c r="D5" s="3499"/>
      <c r="E5" s="3505" t="s">
        <v>2123</v>
      </c>
      <c r="F5" s="3506"/>
      <c r="G5" s="3498" t="s">
        <v>2124</v>
      </c>
      <c r="H5" s="3499"/>
      <c r="I5" s="3498" t="s">
        <v>2125</v>
      </c>
      <c r="J5" s="3499"/>
      <c r="K5" s="566"/>
      <c r="L5" s="1024"/>
      <c r="M5" s="1025"/>
      <c r="N5" s="1025"/>
      <c r="O5" s="1025"/>
      <c r="P5" s="3485"/>
      <c r="Q5" s="3486"/>
      <c r="R5" s="3491"/>
      <c r="S5" s="3492"/>
      <c r="T5" s="3491"/>
      <c r="U5" s="3492"/>
      <c r="V5" s="3495"/>
      <c r="W5" s="3495"/>
      <c r="X5" s="1489"/>
      <c r="Y5" s="3491"/>
      <c r="Z5" s="3492"/>
      <c r="AA5" s="3477"/>
      <c r="AB5" s="3477"/>
      <c r="AC5" s="3477"/>
    </row>
    <row r="6" spans="1:29" ht="15.75" thickBot="1">
      <c r="A6" s="365"/>
      <c r="B6" s="366"/>
      <c r="C6" s="3496" t="s">
        <v>2126</v>
      </c>
      <c r="D6" s="3497"/>
      <c r="E6" s="3503" t="s">
        <v>2126</v>
      </c>
      <c r="F6" s="3504"/>
      <c r="G6" s="3496" t="s">
        <v>2126</v>
      </c>
      <c r="H6" s="3497"/>
      <c r="I6" s="3496" t="s">
        <v>2126</v>
      </c>
      <c r="J6" s="3497"/>
      <c r="K6" s="566" t="s">
        <v>2127</v>
      </c>
      <c r="L6" s="1024"/>
      <c r="M6" s="1025"/>
      <c r="N6" s="1025"/>
      <c r="O6" s="1025"/>
      <c r="P6" s="3487"/>
      <c r="Q6" s="3488"/>
      <c r="R6" s="3491"/>
      <c r="S6" s="3492"/>
      <c r="T6" s="3493"/>
      <c r="U6" s="3494"/>
      <c r="V6" s="3495"/>
      <c r="W6" s="3495"/>
      <c r="X6" s="1489"/>
      <c r="Y6" s="3493"/>
      <c r="Z6" s="3494"/>
      <c r="AA6" s="3478"/>
      <c r="AB6" s="3478"/>
      <c r="AC6" s="3478"/>
    </row>
    <row r="7" spans="1:29" s="112" customFormat="1" ht="15.75" thickBot="1">
      <c r="A7" s="367" t="s">
        <v>2128</v>
      </c>
      <c r="B7" s="368"/>
      <c r="C7" s="369">
        <f>'数据-取费表'!B2</f>
        <v>44823</v>
      </c>
      <c r="D7" s="370">
        <v>100</v>
      </c>
      <c r="E7" s="371"/>
      <c r="F7" s="372">
        <f>SUMIF(52:52,YEAR(E7)&amp;"-"&amp;MONTH(E7),53:53)</f>
        <v>0</v>
      </c>
      <c r="G7" s="371"/>
      <c r="H7" s="370">
        <f>SUMIF(52:52,YEAR(G7)&amp;"-"&amp;MONTH(G7),53:53)</f>
        <v>0</v>
      </c>
      <c r="I7" s="371"/>
      <c r="J7" s="370">
        <f>SUMIF(52:52,YEAR(I7)&amp;"-"&amp;MONTH(I7),53:53)</f>
        <v>0</v>
      </c>
      <c r="K7" s="567"/>
      <c r="L7" s="1026"/>
      <c r="M7" s="1027"/>
      <c r="N7" s="1027"/>
      <c r="O7" s="1027"/>
      <c r="P7" s="3500" t="s">
        <v>2129</v>
      </c>
      <c r="Q7" s="3502"/>
      <c r="R7" s="709" t="s">
        <v>17</v>
      </c>
      <c r="S7" s="710">
        <f t="shared" ref="S7:S15" si="0">F7</f>
        <v>0</v>
      </c>
      <c r="T7" s="709" t="s">
        <v>17</v>
      </c>
      <c r="U7" s="710">
        <f t="shared" ref="U7:U15" si="1">H7</f>
        <v>0</v>
      </c>
      <c r="V7" s="709" t="s">
        <v>17</v>
      </c>
      <c r="W7" s="710">
        <f t="shared" ref="W7:W15" si="2">J7</f>
        <v>0</v>
      </c>
      <c r="X7" s="711"/>
      <c r="Y7" s="3500" t="s">
        <v>2129</v>
      </c>
      <c r="Z7" s="3501"/>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500" t="s">
        <v>2132</v>
      </c>
      <c r="Q8" s="3501"/>
      <c r="R8" s="709" t="s">
        <v>17</v>
      </c>
      <c r="S8" s="710">
        <f t="shared" si="0"/>
        <v>0</v>
      </c>
      <c r="T8" s="709" t="s">
        <v>17</v>
      </c>
      <c r="U8" s="710">
        <f t="shared" si="1"/>
        <v>0</v>
      </c>
      <c r="V8" s="709" t="s">
        <v>17</v>
      </c>
      <c r="W8" s="710">
        <f t="shared" si="2"/>
        <v>0</v>
      </c>
      <c r="X8" s="711"/>
      <c r="Y8" s="3500" t="s">
        <v>2132</v>
      </c>
      <c r="Z8" s="3501"/>
      <c r="AA8" s="712" t="e">
        <f t="shared" ref="AA8:AA40" si="3">D8/F8</f>
        <v>#DIV/0!</v>
      </c>
      <c r="AB8" s="712" t="e">
        <f t="shared" ref="AB8:AB40" si="4">D8/H8</f>
        <v>#DIV/0!</v>
      </c>
      <c r="AC8" s="712" t="e">
        <f t="shared" ref="AC8:AC40" si="5">D8/J8</f>
        <v>#DIV/0!</v>
      </c>
    </row>
    <row r="9" spans="1:29" s="112"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64" t="s">
        <v>2135</v>
      </c>
      <c r="Q9" s="1477" t="str">
        <f t="shared" ref="Q9:Q15" si="6">B9</f>
        <v>用途</v>
      </c>
      <c r="R9" s="709" t="s">
        <v>17</v>
      </c>
      <c r="S9" s="710">
        <f t="shared" si="0"/>
        <v>100</v>
      </c>
      <c r="T9" s="709" t="s">
        <v>17</v>
      </c>
      <c r="U9" s="710">
        <f t="shared" si="1"/>
        <v>100</v>
      </c>
      <c r="V9" s="709" t="s">
        <v>17</v>
      </c>
      <c r="W9" s="710">
        <f t="shared" si="2"/>
        <v>100</v>
      </c>
      <c r="X9" s="711"/>
      <c r="Y9" s="3336"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64"/>
      <c r="Q10" s="1477" t="str">
        <f t="shared" si="6"/>
        <v>土地使用年限（年）</v>
      </c>
      <c r="R10" s="709" t="s">
        <v>17</v>
      </c>
      <c r="S10" s="710">
        <f t="shared" si="0"/>
        <v>100</v>
      </c>
      <c r="T10" s="709" t="s">
        <v>17</v>
      </c>
      <c r="U10" s="710">
        <f t="shared" si="1"/>
        <v>100</v>
      </c>
      <c r="V10" s="709" t="s">
        <v>17</v>
      </c>
      <c r="W10" s="710">
        <f t="shared" si="2"/>
        <v>100</v>
      </c>
      <c r="X10" s="711"/>
      <c r="Y10" s="3336"/>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64"/>
      <c r="Q11" s="1477" t="str">
        <f t="shared" si="6"/>
        <v>容积率</v>
      </c>
      <c r="R11" s="709" t="s">
        <v>17</v>
      </c>
      <c r="S11" s="710" t="e">
        <f t="shared" si="0"/>
        <v>#N/A</v>
      </c>
      <c r="T11" s="709" t="s">
        <v>17</v>
      </c>
      <c r="U11" s="710" t="e">
        <f t="shared" si="1"/>
        <v>#N/A</v>
      </c>
      <c r="V11" s="709" t="s">
        <v>17</v>
      </c>
      <c r="W11" s="710" t="e">
        <f t="shared" si="2"/>
        <v>#N/A</v>
      </c>
      <c r="X11" s="711"/>
      <c r="Y11" s="3336"/>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464"/>
      <c r="Q12" s="1477">
        <f t="shared" si="6"/>
        <v>111</v>
      </c>
      <c r="R12" s="709" t="s">
        <v>17</v>
      </c>
      <c r="S12" s="710">
        <f t="shared" si="0"/>
        <v>100</v>
      </c>
      <c r="T12" s="709" t="s">
        <v>17</v>
      </c>
      <c r="U12" s="710">
        <f t="shared" si="1"/>
        <v>100</v>
      </c>
      <c r="V12" s="709" t="s">
        <v>17</v>
      </c>
      <c r="W12" s="710">
        <f t="shared" si="2"/>
        <v>100</v>
      </c>
      <c r="X12" s="711"/>
      <c r="Y12" s="3336"/>
      <c r="Z12" s="55">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464"/>
      <c r="Q13" s="1477">
        <f t="shared" si="6"/>
        <v>111</v>
      </c>
      <c r="R13" s="709" t="s">
        <v>17</v>
      </c>
      <c r="S13" s="710">
        <f t="shared" si="0"/>
        <v>100</v>
      </c>
      <c r="T13" s="709" t="s">
        <v>17</v>
      </c>
      <c r="U13" s="710">
        <f t="shared" si="1"/>
        <v>100</v>
      </c>
      <c r="V13" s="709" t="s">
        <v>17</v>
      </c>
      <c r="W13" s="710">
        <f t="shared" si="2"/>
        <v>100</v>
      </c>
      <c r="X13" s="711"/>
      <c r="Y13" s="3336"/>
      <c r="Z13" s="55">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464"/>
      <c r="Q14" s="1477">
        <f t="shared" si="6"/>
        <v>111</v>
      </c>
      <c r="R14" s="709" t="s">
        <v>17</v>
      </c>
      <c r="S14" s="710">
        <f t="shared" si="0"/>
        <v>100</v>
      </c>
      <c r="T14" s="709" t="s">
        <v>17</v>
      </c>
      <c r="U14" s="710">
        <f t="shared" si="1"/>
        <v>100</v>
      </c>
      <c r="V14" s="709" t="s">
        <v>17</v>
      </c>
      <c r="W14" s="710">
        <f t="shared" si="2"/>
        <v>100</v>
      </c>
      <c r="X14" s="711"/>
      <c r="Y14" s="3336"/>
      <c r="Z14" s="55">
        <f t="shared" si="7"/>
        <v>111</v>
      </c>
      <c r="AA14" s="712">
        <f t="shared" si="3"/>
        <v>1</v>
      </c>
      <c r="AB14" s="712">
        <f t="shared" si="4"/>
        <v>1</v>
      </c>
      <c r="AC14" s="712">
        <f t="shared" si="5"/>
        <v>1</v>
      </c>
    </row>
    <row r="15" spans="1:29" ht="57">
      <c r="A15" s="398" t="s">
        <v>2139</v>
      </c>
      <c r="B15" s="65"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66" t="s">
        <v>2140</v>
      </c>
      <c r="Q15" s="1486" t="str">
        <f t="shared" si="6"/>
        <v>产业集聚程度</v>
      </c>
      <c r="R15" s="713" t="s">
        <v>17</v>
      </c>
      <c r="S15" s="714">
        <f t="shared" si="0"/>
        <v>100</v>
      </c>
      <c r="T15" s="713" t="s">
        <v>17</v>
      </c>
      <c r="U15" s="714">
        <f t="shared" si="1"/>
        <v>100</v>
      </c>
      <c r="V15" s="713" t="s">
        <v>17</v>
      </c>
      <c r="W15" s="714">
        <f t="shared" si="2"/>
        <v>100</v>
      </c>
      <c r="X15" s="1489"/>
      <c r="Y15" s="3466"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67"/>
      <c r="Q16" s="1486"/>
      <c r="R16" s="713"/>
      <c r="S16" s="714"/>
      <c r="T16" s="713"/>
      <c r="U16" s="714"/>
      <c r="V16" s="713"/>
      <c r="W16" s="714"/>
      <c r="X16" s="1489"/>
      <c r="Y16" s="3467"/>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67"/>
      <c r="Q17" s="1486" t="str">
        <f>B17</f>
        <v>交通便捷度</v>
      </c>
      <c r="R17" s="713" t="s">
        <v>17</v>
      </c>
      <c r="S17" s="714">
        <f>F17</f>
        <v>100</v>
      </c>
      <c r="T17" s="713" t="s">
        <v>17</v>
      </c>
      <c r="U17" s="714">
        <f>H17</f>
        <v>100</v>
      </c>
      <c r="V17" s="713" t="s">
        <v>17</v>
      </c>
      <c r="W17" s="714">
        <f>J17</f>
        <v>100</v>
      </c>
      <c r="X17" s="1489"/>
      <c r="Y17" s="3467"/>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467"/>
      <c r="Q18" s="1486"/>
      <c r="R18" s="713"/>
      <c r="S18" s="714"/>
      <c r="T18" s="713"/>
      <c r="U18" s="714"/>
      <c r="V18" s="713"/>
      <c r="W18" s="714"/>
      <c r="X18" s="1489"/>
      <c r="Y18" s="3467"/>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67"/>
      <c r="Q19" s="1486" t="str">
        <f>B19</f>
        <v>公共配套设施</v>
      </c>
      <c r="R19" s="713" t="s">
        <v>17</v>
      </c>
      <c r="S19" s="714">
        <f>F19</f>
        <v>100</v>
      </c>
      <c r="T19" s="713" t="s">
        <v>17</v>
      </c>
      <c r="U19" s="714">
        <f>H19</f>
        <v>100</v>
      </c>
      <c r="V19" s="713" t="s">
        <v>17</v>
      </c>
      <c r="W19" s="714">
        <f>J19</f>
        <v>100</v>
      </c>
      <c r="X19" s="1489"/>
      <c r="Y19" s="3467"/>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467"/>
      <c r="Q20" s="1486"/>
      <c r="R20" s="713"/>
      <c r="S20" s="714"/>
      <c r="T20" s="713"/>
      <c r="U20" s="714"/>
      <c r="V20" s="713"/>
      <c r="W20" s="714"/>
      <c r="X20" s="1489"/>
      <c r="Y20" s="3467"/>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67"/>
      <c r="Q21" s="1486" t="str">
        <f>B21</f>
        <v>基础设施水平</v>
      </c>
      <c r="R21" s="713" t="s">
        <v>17</v>
      </c>
      <c r="S21" s="714">
        <f>F21</f>
        <v>100</v>
      </c>
      <c r="T21" s="713" t="s">
        <v>17</v>
      </c>
      <c r="U21" s="714">
        <f>H21</f>
        <v>100</v>
      </c>
      <c r="V21" s="713" t="s">
        <v>17</v>
      </c>
      <c r="W21" s="714">
        <f>J21</f>
        <v>100</v>
      </c>
      <c r="X21" s="1489"/>
      <c r="Y21" s="3467"/>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467"/>
      <c r="Q22" s="1486"/>
      <c r="R22" s="713"/>
      <c r="S22" s="714"/>
      <c r="T22" s="713"/>
      <c r="U22" s="714"/>
      <c r="V22" s="713"/>
      <c r="W22" s="714"/>
      <c r="X22" s="1489"/>
      <c r="Y22" s="3467"/>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67"/>
      <c r="Q23" s="1486" t="str">
        <f>B23</f>
        <v>环境质量</v>
      </c>
      <c r="R23" s="713" t="s">
        <v>17</v>
      </c>
      <c r="S23" s="714">
        <f>F23</f>
        <v>100</v>
      </c>
      <c r="T23" s="713" t="s">
        <v>17</v>
      </c>
      <c r="U23" s="714">
        <f>H23</f>
        <v>100</v>
      </c>
      <c r="V23" s="713" t="s">
        <v>17</v>
      </c>
      <c r="W23" s="714">
        <f>J23</f>
        <v>100</v>
      </c>
      <c r="X23" s="1489"/>
      <c r="Y23" s="3467"/>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467"/>
      <c r="Q24" s="1486"/>
      <c r="R24" s="713"/>
      <c r="S24" s="714"/>
      <c r="T24" s="713"/>
      <c r="U24" s="714"/>
      <c r="V24" s="713"/>
      <c r="W24" s="714"/>
      <c r="X24" s="1489"/>
      <c r="Y24" s="3467"/>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67"/>
      <c r="Q25" s="1486">
        <f>B25</f>
        <v>111</v>
      </c>
      <c r="R25" s="713" t="s">
        <v>17</v>
      </c>
      <c r="S25" s="714">
        <f>F25</f>
        <v>100</v>
      </c>
      <c r="T25" s="713" t="s">
        <v>17</v>
      </c>
      <c r="U25" s="714">
        <f>H25</f>
        <v>100</v>
      </c>
      <c r="V25" s="713" t="s">
        <v>17</v>
      </c>
      <c r="W25" s="714">
        <f>J25</f>
        <v>100</v>
      </c>
      <c r="X25" s="1489"/>
      <c r="Y25" s="3467"/>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67"/>
      <c r="Q26" s="1486">
        <f t="shared" ref="Q26:Q40" si="11">B26</f>
        <v>111</v>
      </c>
      <c r="R26" s="713" t="s">
        <v>17</v>
      </c>
      <c r="S26" s="714">
        <f>F26</f>
        <v>100</v>
      </c>
      <c r="T26" s="713" t="s">
        <v>17</v>
      </c>
      <c r="U26" s="714">
        <f>H26</f>
        <v>100</v>
      </c>
      <c r="V26" s="713" t="s">
        <v>17</v>
      </c>
      <c r="W26" s="714">
        <f>J26</f>
        <v>100</v>
      </c>
      <c r="X26" s="1489"/>
      <c r="Y26" s="3467"/>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67"/>
      <c r="Q27" s="1477">
        <f t="shared" si="11"/>
        <v>111</v>
      </c>
      <c r="R27" s="709" t="s">
        <v>17</v>
      </c>
      <c r="S27" s="710">
        <f>F27</f>
        <v>100</v>
      </c>
      <c r="T27" s="709" t="s">
        <v>17</v>
      </c>
      <c r="U27" s="710">
        <f>H27</f>
        <v>100</v>
      </c>
      <c r="V27" s="709" t="s">
        <v>17</v>
      </c>
      <c r="W27" s="710">
        <f>J27</f>
        <v>100</v>
      </c>
      <c r="X27" s="711"/>
      <c r="Y27" s="3467"/>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67"/>
      <c r="Q28" s="1486">
        <f t="shared" si="11"/>
        <v>111</v>
      </c>
      <c r="R28" s="713" t="s">
        <v>17</v>
      </c>
      <c r="S28" s="714">
        <f t="shared" ref="S28:S40" si="12">F28</f>
        <v>100</v>
      </c>
      <c r="T28" s="713" t="s">
        <v>17</v>
      </c>
      <c r="U28" s="714">
        <f t="shared" ref="U28:U40" si="13">H28</f>
        <v>100</v>
      </c>
      <c r="V28" s="713" t="s">
        <v>17</v>
      </c>
      <c r="W28" s="714">
        <f t="shared" ref="W28:W40" si="14">J28</f>
        <v>100</v>
      </c>
      <c r="X28" s="1489"/>
      <c r="Y28" s="3467"/>
      <c r="Z28" s="1490">
        <f t="shared" ref="Z28:Z40" si="15">Q28</f>
        <v>111</v>
      </c>
      <c r="AA28" s="1487">
        <f t="shared" si="3"/>
        <v>1</v>
      </c>
      <c r="AB28" s="1487">
        <f t="shared" si="4"/>
        <v>1</v>
      </c>
      <c r="AC28" s="1487">
        <f t="shared" si="5"/>
        <v>1</v>
      </c>
    </row>
    <row r="29" spans="1:29" ht="28.5">
      <c r="A29" s="424" t="s">
        <v>2143</v>
      </c>
      <c r="B29" s="67"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522" t="s">
        <v>2145</v>
      </c>
      <c r="Q29" s="1486" t="str">
        <f t="shared" si="11"/>
        <v>建筑类型</v>
      </c>
      <c r="R29" s="713" t="s">
        <v>17</v>
      </c>
      <c r="S29" s="714">
        <f t="shared" si="12"/>
        <v>100</v>
      </c>
      <c r="T29" s="713" t="s">
        <v>17</v>
      </c>
      <c r="U29" s="714">
        <f t="shared" si="13"/>
        <v>100</v>
      </c>
      <c r="V29" s="713" t="s">
        <v>17</v>
      </c>
      <c r="W29" s="714">
        <f t="shared" si="14"/>
        <v>100</v>
      </c>
      <c r="X29" s="1489"/>
      <c r="Y29" s="3471"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71"/>
      <c r="Q30" s="715" t="str">
        <f t="shared" si="11"/>
        <v>项目建筑规模</v>
      </c>
      <c r="R30" s="716" t="s">
        <v>17</v>
      </c>
      <c r="S30" s="717" t="e">
        <f t="shared" si="12"/>
        <v>#N/A</v>
      </c>
      <c r="T30" s="716" t="s">
        <v>17</v>
      </c>
      <c r="U30" s="717" t="e">
        <f t="shared" si="13"/>
        <v>#N/A</v>
      </c>
      <c r="V30" s="716" t="s">
        <v>17</v>
      </c>
      <c r="W30" s="717" t="e">
        <f t="shared" si="14"/>
        <v>#N/A</v>
      </c>
      <c r="X30" s="718"/>
      <c r="Y30" s="3471"/>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71"/>
      <c r="Q31" s="1486" t="str">
        <f t="shared" si="11"/>
        <v>建筑结构</v>
      </c>
      <c r="R31" s="713" t="s">
        <v>17</v>
      </c>
      <c r="S31" s="714">
        <f t="shared" si="12"/>
        <v>100</v>
      </c>
      <c r="T31" s="713" t="s">
        <v>17</v>
      </c>
      <c r="U31" s="714">
        <f t="shared" si="13"/>
        <v>100</v>
      </c>
      <c r="V31" s="713" t="s">
        <v>17</v>
      </c>
      <c r="W31" s="714">
        <f t="shared" si="14"/>
        <v>100</v>
      </c>
      <c r="X31" s="1489"/>
      <c r="Y31" s="3471"/>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71"/>
      <c r="Q32" s="1486" t="str">
        <f t="shared" si="11"/>
        <v>公共部分装修</v>
      </c>
      <c r="R32" s="713" t="s">
        <v>17</v>
      </c>
      <c r="S32" s="714">
        <f t="shared" si="12"/>
        <v>100</v>
      </c>
      <c r="T32" s="713" t="s">
        <v>17</v>
      </c>
      <c r="U32" s="714">
        <f t="shared" si="13"/>
        <v>100</v>
      </c>
      <c r="V32" s="713" t="s">
        <v>17</v>
      </c>
      <c r="W32" s="714">
        <f t="shared" si="14"/>
        <v>100</v>
      </c>
      <c r="X32" s="1489"/>
      <c r="Y32" s="3471"/>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71"/>
      <c r="Q33" s="1486" t="str">
        <f t="shared" si="11"/>
        <v>成新度</v>
      </c>
      <c r="R33" s="713" t="s">
        <v>17</v>
      </c>
      <c r="S33" s="714" t="e">
        <f t="shared" si="12"/>
        <v>#N/A</v>
      </c>
      <c r="T33" s="713" t="s">
        <v>17</v>
      </c>
      <c r="U33" s="714" t="e">
        <f t="shared" si="13"/>
        <v>#N/A</v>
      </c>
      <c r="V33" s="713" t="s">
        <v>17</v>
      </c>
      <c r="W33" s="714" t="e">
        <f t="shared" si="14"/>
        <v>#N/A</v>
      </c>
      <c r="X33" s="1489"/>
      <c r="Y33" s="3471"/>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71"/>
      <c r="Q34" s="1477" t="str">
        <f t="shared" si="11"/>
        <v>物业管理</v>
      </c>
      <c r="R34" s="709" t="s">
        <v>17</v>
      </c>
      <c r="S34" s="710">
        <f t="shared" si="12"/>
        <v>100</v>
      </c>
      <c r="T34" s="709" t="s">
        <v>17</v>
      </c>
      <c r="U34" s="710">
        <f t="shared" si="13"/>
        <v>100</v>
      </c>
      <c r="V34" s="709" t="s">
        <v>17</v>
      </c>
      <c r="W34" s="710">
        <f t="shared" si="14"/>
        <v>100</v>
      </c>
      <c r="X34" s="711"/>
      <c r="Y34" s="3471"/>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71" t="s">
        <v>2145</v>
      </c>
      <c r="Q35" s="1486" t="str">
        <f t="shared" si="11"/>
        <v>市政基础设施</v>
      </c>
      <c r="R35" s="713" t="s">
        <v>17</v>
      </c>
      <c r="S35" s="714">
        <f t="shared" si="12"/>
        <v>100</v>
      </c>
      <c r="T35" s="713" t="s">
        <v>17</v>
      </c>
      <c r="U35" s="714">
        <f t="shared" si="13"/>
        <v>100</v>
      </c>
      <c r="V35" s="713" t="s">
        <v>17</v>
      </c>
      <c r="W35" s="714">
        <f t="shared" si="14"/>
        <v>100</v>
      </c>
      <c r="X35" s="1489"/>
      <c r="Y35" s="3471"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71"/>
      <c r="Q36" s="1486" t="str">
        <f t="shared" si="11"/>
        <v>内部装修</v>
      </c>
      <c r="R36" s="713" t="s">
        <v>17</v>
      </c>
      <c r="S36" s="714">
        <f t="shared" si="12"/>
        <v>100</v>
      </c>
      <c r="T36" s="713" t="s">
        <v>17</v>
      </c>
      <c r="U36" s="714">
        <f t="shared" si="13"/>
        <v>100</v>
      </c>
      <c r="V36" s="713" t="s">
        <v>17</v>
      </c>
      <c r="W36" s="714">
        <f t="shared" si="14"/>
        <v>100</v>
      </c>
      <c r="X36" s="1489"/>
      <c r="Y36" s="3471"/>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71"/>
      <c r="Q37" s="1486" t="str">
        <f t="shared" si="11"/>
        <v>内部装修状况</v>
      </c>
      <c r="R37" s="713" t="s">
        <v>17</v>
      </c>
      <c r="S37" s="714">
        <f t="shared" si="12"/>
        <v>100</v>
      </c>
      <c r="T37" s="713" t="s">
        <v>17</v>
      </c>
      <c r="U37" s="714">
        <f t="shared" si="13"/>
        <v>100</v>
      </c>
      <c r="V37" s="713" t="s">
        <v>17</v>
      </c>
      <c r="W37" s="714">
        <f t="shared" si="14"/>
        <v>100</v>
      </c>
      <c r="X37" s="1489"/>
      <c r="Y37" s="3471"/>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71"/>
      <c r="Q38" s="715">
        <f t="shared" si="11"/>
        <v>111</v>
      </c>
      <c r="R38" s="716" t="s">
        <v>17</v>
      </c>
      <c r="S38" s="717">
        <f t="shared" si="12"/>
        <v>100</v>
      </c>
      <c r="T38" s="716" t="s">
        <v>17</v>
      </c>
      <c r="U38" s="717">
        <f t="shared" si="13"/>
        <v>100</v>
      </c>
      <c r="V38" s="716" t="s">
        <v>17</v>
      </c>
      <c r="W38" s="717">
        <f t="shared" si="14"/>
        <v>100</v>
      </c>
      <c r="X38" s="718"/>
      <c r="Y38" s="3471"/>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71"/>
      <c r="Q39" s="1486">
        <f t="shared" si="11"/>
        <v>111</v>
      </c>
      <c r="R39" s="713" t="s">
        <v>17</v>
      </c>
      <c r="S39" s="714">
        <f t="shared" si="12"/>
        <v>100</v>
      </c>
      <c r="T39" s="713" t="s">
        <v>17</v>
      </c>
      <c r="U39" s="714">
        <f t="shared" si="13"/>
        <v>100</v>
      </c>
      <c r="V39" s="713" t="s">
        <v>17</v>
      </c>
      <c r="W39" s="714">
        <f t="shared" si="14"/>
        <v>100</v>
      </c>
      <c r="X39" s="1489"/>
      <c r="Y39" s="3471"/>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72"/>
      <c r="Q40" s="1486">
        <f t="shared" si="11"/>
        <v>111</v>
      </c>
      <c r="R40" s="713" t="s">
        <v>17</v>
      </c>
      <c r="S40" s="714">
        <f t="shared" si="12"/>
        <v>100</v>
      </c>
      <c r="T40" s="713" t="s">
        <v>17</v>
      </c>
      <c r="U40" s="714">
        <f t="shared" si="13"/>
        <v>100</v>
      </c>
      <c r="V40" s="713" t="s">
        <v>17</v>
      </c>
      <c r="W40" s="714">
        <f t="shared" si="14"/>
        <v>100</v>
      </c>
      <c r="X40" s="1489"/>
      <c r="Y40" s="3472"/>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64" t="str">
        <f>A41</f>
        <v>成交单价（元/平方米）</v>
      </c>
      <c r="Q41" s="3464"/>
      <c r="R41" s="3465">
        <f>E41</f>
        <v>0</v>
      </c>
      <c r="S41" s="3465"/>
      <c r="T41" s="3465">
        <f>G41</f>
        <v>0</v>
      </c>
      <c r="U41" s="3465"/>
      <c r="V41" s="3465">
        <f>I41</f>
        <v>0</v>
      </c>
      <c r="W41" s="3465"/>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464" t="str">
        <f>A42</f>
        <v>比较价值（元/平方米）</v>
      </c>
      <c r="Q42" s="34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8"/>
      <c r="O54" s="2949"/>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2022年9月19日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19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本次评估采用的主估价方法为收益法和成本法。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89" t="s">
        <v>2227</v>
      </c>
      <c r="S4" s="3490"/>
      <c r="T4" s="3489" t="s">
        <v>2228</v>
      </c>
      <c r="U4" s="3490"/>
      <c r="V4" s="3495" t="s">
        <v>2229</v>
      </c>
      <c r="W4" s="3495"/>
      <c r="X4" s="1489"/>
      <c r="Y4" s="3489" t="s">
        <v>2231</v>
      </c>
      <c r="Z4" s="3490"/>
      <c r="AA4" s="3476" t="s">
        <v>2227</v>
      </c>
      <c r="AB4" s="3477" t="s">
        <v>2228</v>
      </c>
      <c r="AC4" s="3476" t="s">
        <v>2229</v>
      </c>
    </row>
    <row r="5" spans="1:29" ht="15">
      <c r="A5" s="363"/>
      <c r="B5" s="364"/>
      <c r="C5" s="3498" t="s">
        <v>2122</v>
      </c>
      <c r="D5" s="3499"/>
      <c r="E5" s="3505" t="s">
        <v>2123</v>
      </c>
      <c r="F5" s="3506"/>
      <c r="G5" s="3498" t="s">
        <v>2124</v>
      </c>
      <c r="H5" s="3499"/>
      <c r="I5" s="3498" t="s">
        <v>2125</v>
      </c>
      <c r="J5" s="3499"/>
      <c r="K5" s="566"/>
      <c r="L5" s="2893"/>
      <c r="M5" s="2894"/>
      <c r="N5" s="2894"/>
      <c r="O5" s="2894"/>
      <c r="P5" s="3485"/>
      <c r="Q5" s="3486"/>
      <c r="R5" s="3491"/>
      <c r="S5" s="3492"/>
      <c r="T5" s="3491"/>
      <c r="U5" s="3492"/>
      <c r="V5" s="3495"/>
      <c r="W5" s="3495"/>
      <c r="X5" s="1489"/>
      <c r="Y5" s="3491"/>
      <c r="Z5" s="3492"/>
      <c r="AA5" s="3477"/>
      <c r="AB5" s="3477"/>
      <c r="AC5" s="3477"/>
    </row>
    <row r="6" spans="1:29" ht="15.75" thickBot="1">
      <c r="A6" s="365"/>
      <c r="B6" s="366"/>
      <c r="C6" s="3496" t="s">
        <v>2126</v>
      </c>
      <c r="D6" s="3497"/>
      <c r="E6" s="3503" t="s">
        <v>2126</v>
      </c>
      <c r="F6" s="3504"/>
      <c r="G6" s="3496" t="s">
        <v>2126</v>
      </c>
      <c r="H6" s="3497"/>
      <c r="I6" s="3496" t="s">
        <v>2126</v>
      </c>
      <c r="J6" s="3497"/>
      <c r="K6" s="566" t="s">
        <v>2127</v>
      </c>
      <c r="L6" s="2893"/>
      <c r="M6" s="2894"/>
      <c r="N6" s="2894"/>
      <c r="O6" s="2894"/>
      <c r="P6" s="3487"/>
      <c r="Q6" s="3488"/>
      <c r="R6" s="3491"/>
      <c r="S6" s="3492"/>
      <c r="T6" s="3493"/>
      <c r="U6" s="3494"/>
      <c r="V6" s="3495"/>
      <c r="W6" s="3495"/>
      <c r="X6" s="1489"/>
      <c r="Y6" s="3493"/>
      <c r="Z6" s="3494"/>
      <c r="AA6" s="3478"/>
      <c r="AB6" s="3478"/>
      <c r="AC6" s="3478"/>
    </row>
    <row r="7" spans="1:29" s="112" customFormat="1" ht="15.75" thickBot="1">
      <c r="A7" s="367" t="s">
        <v>2128</v>
      </c>
      <c r="B7" s="368"/>
      <c r="C7" s="369">
        <f>'数据-取费表'!B2</f>
        <v>44823</v>
      </c>
      <c r="D7" s="370">
        <v>100</v>
      </c>
      <c r="E7" s="371"/>
      <c r="F7" s="372">
        <f>SUMIF(48:48,YEAR(E7)&amp;"-"&amp;MONTH(E7),49:49)</f>
        <v>0</v>
      </c>
      <c r="G7" s="371"/>
      <c r="H7" s="370">
        <f>SUMIF(48:48,YEAR(G7)&amp;"-"&amp;MONTH(G7),49:49)</f>
        <v>0</v>
      </c>
      <c r="I7" s="371"/>
      <c r="J7" s="370">
        <f>SUMIF(48:48,YEAR(I7)&amp;"-"&amp;MONTH(I7),49:49)</f>
        <v>0</v>
      </c>
      <c r="K7" s="567"/>
      <c r="L7" s="2895"/>
      <c r="M7" s="2896"/>
      <c r="N7" s="2896"/>
      <c r="O7" s="2896"/>
      <c r="P7" s="3500" t="s">
        <v>2129</v>
      </c>
      <c r="Q7" s="3502"/>
      <c r="R7" s="709" t="s">
        <v>17</v>
      </c>
      <c r="S7" s="710">
        <f t="shared" ref="S7:S14" si="0">F7</f>
        <v>0</v>
      </c>
      <c r="T7" s="709" t="s">
        <v>17</v>
      </c>
      <c r="U7" s="710">
        <f t="shared" ref="U7:U14" si="1">H7</f>
        <v>0</v>
      </c>
      <c r="V7" s="709" t="s">
        <v>17</v>
      </c>
      <c r="W7" s="710">
        <f t="shared" ref="W7:W14" si="2">J7</f>
        <v>0</v>
      </c>
      <c r="X7" s="711"/>
      <c r="Y7" s="3500" t="s">
        <v>2129</v>
      </c>
      <c r="Z7" s="3501"/>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500" t="s">
        <v>2132</v>
      </c>
      <c r="Q8" s="3501"/>
      <c r="R8" s="709" t="s">
        <v>17</v>
      </c>
      <c r="S8" s="710">
        <f t="shared" si="0"/>
        <v>0</v>
      </c>
      <c r="T8" s="709" t="s">
        <v>17</v>
      </c>
      <c r="U8" s="710">
        <f t="shared" si="1"/>
        <v>0</v>
      </c>
      <c r="V8" s="709" t="s">
        <v>17</v>
      </c>
      <c r="W8" s="710">
        <f t="shared" si="2"/>
        <v>0</v>
      </c>
      <c r="X8" s="711"/>
      <c r="Y8" s="3500" t="s">
        <v>2132</v>
      </c>
      <c r="Z8" s="3501"/>
      <c r="AA8" s="712" t="e">
        <f t="shared" ref="AA8:AA36" si="3">D8/F8</f>
        <v>#DIV/0!</v>
      </c>
      <c r="AB8" s="712" t="e">
        <f t="shared" ref="AB8:AB36" si="4">D8/H8</f>
        <v>#DIV/0!</v>
      </c>
      <c r="AC8" s="712" t="e">
        <f t="shared" ref="AC8:AC36" si="5">D8/J8</f>
        <v>#DIV/0!</v>
      </c>
    </row>
    <row r="9" spans="1:29" s="112"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464" t="s">
        <v>2135</v>
      </c>
      <c r="Q9" s="1477" t="str">
        <f t="shared" ref="Q9:Q14" si="6">B9</f>
        <v>用途</v>
      </c>
      <c r="R9" s="709" t="s">
        <v>17</v>
      </c>
      <c r="S9" s="710">
        <f t="shared" si="0"/>
        <v>100</v>
      </c>
      <c r="T9" s="709" t="s">
        <v>17</v>
      </c>
      <c r="U9" s="710">
        <f t="shared" si="1"/>
        <v>100</v>
      </c>
      <c r="V9" s="709" t="s">
        <v>17</v>
      </c>
      <c r="W9" s="710">
        <f t="shared" si="2"/>
        <v>100</v>
      </c>
      <c r="X9" s="711"/>
      <c r="Y9" s="3336"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464"/>
      <c r="Q10" s="1477" t="str">
        <f t="shared" si="6"/>
        <v>土地使用年限（年）</v>
      </c>
      <c r="R10" s="709" t="s">
        <v>17</v>
      </c>
      <c r="S10" s="710">
        <f t="shared" si="0"/>
        <v>100</v>
      </c>
      <c r="T10" s="709" t="s">
        <v>17</v>
      </c>
      <c r="U10" s="710">
        <f t="shared" si="1"/>
        <v>100</v>
      </c>
      <c r="V10" s="709" t="s">
        <v>17</v>
      </c>
      <c r="W10" s="710">
        <f t="shared" si="2"/>
        <v>100</v>
      </c>
      <c r="X10" s="711"/>
      <c r="Y10" s="3336"/>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464"/>
      <c r="Q11" s="1477">
        <f t="shared" si="6"/>
        <v>111</v>
      </c>
      <c r="R11" s="709" t="s">
        <v>17</v>
      </c>
      <c r="S11" s="710">
        <f t="shared" si="0"/>
        <v>100</v>
      </c>
      <c r="T11" s="709" t="s">
        <v>17</v>
      </c>
      <c r="U11" s="710">
        <f t="shared" si="1"/>
        <v>100</v>
      </c>
      <c r="V11" s="709" t="s">
        <v>17</v>
      </c>
      <c r="W11" s="710">
        <f t="shared" si="2"/>
        <v>100</v>
      </c>
      <c r="X11" s="711"/>
      <c r="Y11" s="3336"/>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464"/>
      <c r="Q12" s="1477">
        <f t="shared" si="6"/>
        <v>111</v>
      </c>
      <c r="R12" s="709" t="s">
        <v>17</v>
      </c>
      <c r="S12" s="710">
        <f t="shared" si="0"/>
        <v>100</v>
      </c>
      <c r="T12" s="709" t="s">
        <v>17</v>
      </c>
      <c r="U12" s="710">
        <f t="shared" si="1"/>
        <v>100</v>
      </c>
      <c r="V12" s="709" t="s">
        <v>17</v>
      </c>
      <c r="W12" s="710">
        <f t="shared" si="2"/>
        <v>100</v>
      </c>
      <c r="X12" s="711"/>
      <c r="Y12" s="3336"/>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464"/>
      <c r="Q13" s="1477">
        <f t="shared" si="6"/>
        <v>111</v>
      </c>
      <c r="R13" s="709" t="s">
        <v>17</v>
      </c>
      <c r="S13" s="710">
        <f t="shared" si="0"/>
        <v>100</v>
      </c>
      <c r="T13" s="709" t="s">
        <v>17</v>
      </c>
      <c r="U13" s="710">
        <f t="shared" si="1"/>
        <v>100</v>
      </c>
      <c r="V13" s="709" t="s">
        <v>17</v>
      </c>
      <c r="W13" s="710">
        <f t="shared" si="2"/>
        <v>100</v>
      </c>
      <c r="X13" s="711"/>
      <c r="Y13" s="3336"/>
      <c r="Z13" s="55">
        <f t="shared" si="7"/>
        <v>111</v>
      </c>
      <c r="AA13" s="712">
        <f t="shared" si="3"/>
        <v>1</v>
      </c>
      <c r="AB13" s="712">
        <f t="shared" si="4"/>
        <v>1</v>
      </c>
      <c r="AC13" s="712">
        <f t="shared" si="5"/>
        <v>1</v>
      </c>
    </row>
    <row r="14" spans="1:29" ht="85.5">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466" t="s">
        <v>2140</v>
      </c>
      <c r="Q14" s="1486" t="str">
        <f t="shared" si="6"/>
        <v>交通便捷度</v>
      </c>
      <c r="R14" s="713" t="s">
        <v>17</v>
      </c>
      <c r="S14" s="714">
        <f t="shared" si="0"/>
        <v>100</v>
      </c>
      <c r="T14" s="713" t="s">
        <v>17</v>
      </c>
      <c r="U14" s="714">
        <f t="shared" si="1"/>
        <v>100</v>
      </c>
      <c r="V14" s="713" t="s">
        <v>17</v>
      </c>
      <c r="W14" s="714">
        <f t="shared" si="2"/>
        <v>100</v>
      </c>
      <c r="X14" s="1489"/>
      <c r="Y14" s="3466"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467"/>
      <c r="Q15" s="1486"/>
      <c r="R15" s="713"/>
      <c r="S15" s="714"/>
      <c r="T15" s="713"/>
      <c r="U15" s="714"/>
      <c r="V15" s="713"/>
      <c r="W15" s="714"/>
      <c r="X15" s="1489"/>
      <c r="Y15" s="3467"/>
      <c r="Z15" s="1490"/>
      <c r="AA15" s="1487">
        <v>1</v>
      </c>
      <c r="AB15" s="1487">
        <v>1</v>
      </c>
      <c r="AC15" s="1487">
        <v>1</v>
      </c>
    </row>
    <row r="16" spans="1:29" ht="42.75">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467"/>
      <c r="Q16" s="1486" t="str">
        <f>B16</f>
        <v>公共配套设施</v>
      </c>
      <c r="R16" s="713" t="s">
        <v>17</v>
      </c>
      <c r="S16" s="714">
        <f>F16</f>
        <v>100</v>
      </c>
      <c r="T16" s="713" t="s">
        <v>17</v>
      </c>
      <c r="U16" s="714">
        <f>H16</f>
        <v>100</v>
      </c>
      <c r="V16" s="713" t="s">
        <v>17</v>
      </c>
      <c r="W16" s="714">
        <f>J16</f>
        <v>100</v>
      </c>
      <c r="X16" s="1489"/>
      <c r="Y16" s="3467"/>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467"/>
      <c r="Q17" s="1486"/>
      <c r="R17" s="713"/>
      <c r="S17" s="714"/>
      <c r="T17" s="713"/>
      <c r="U17" s="714"/>
      <c r="V17" s="713"/>
      <c r="W17" s="714"/>
      <c r="X17" s="1489"/>
      <c r="Y17" s="3467"/>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467"/>
      <c r="Q18" s="1486" t="str">
        <f>B18</f>
        <v>基础设施水平</v>
      </c>
      <c r="R18" s="713" t="s">
        <v>17</v>
      </c>
      <c r="S18" s="714">
        <f>F18</f>
        <v>100</v>
      </c>
      <c r="T18" s="713" t="s">
        <v>17</v>
      </c>
      <c r="U18" s="714">
        <f>H18</f>
        <v>100</v>
      </c>
      <c r="V18" s="713" t="s">
        <v>17</v>
      </c>
      <c r="W18" s="714">
        <f>J18</f>
        <v>100</v>
      </c>
      <c r="X18" s="1489"/>
      <c r="Y18" s="3467"/>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467"/>
      <c r="Q19" s="1486"/>
      <c r="R19" s="713"/>
      <c r="S19" s="714"/>
      <c r="T19" s="713"/>
      <c r="U19" s="714"/>
      <c r="V19" s="713"/>
      <c r="W19" s="714"/>
      <c r="X19" s="1489"/>
      <c r="Y19" s="3467"/>
      <c r="Z19" s="1490"/>
      <c r="AA19" s="1487">
        <v>1</v>
      </c>
      <c r="AB19" s="1487">
        <v>1</v>
      </c>
      <c r="AC19" s="1487">
        <v>1</v>
      </c>
    </row>
    <row r="20" spans="1:29" ht="57">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467"/>
      <c r="Q20" s="1486" t="str">
        <f>B20</f>
        <v>自然及人文环境</v>
      </c>
      <c r="R20" s="713" t="s">
        <v>17</v>
      </c>
      <c r="S20" s="714">
        <f>F20</f>
        <v>100</v>
      </c>
      <c r="T20" s="713" t="s">
        <v>17</v>
      </c>
      <c r="U20" s="714">
        <f>H20</f>
        <v>100</v>
      </c>
      <c r="V20" s="713" t="s">
        <v>17</v>
      </c>
      <c r="W20" s="714">
        <f>J20</f>
        <v>100</v>
      </c>
      <c r="X20" s="1489"/>
      <c r="Y20" s="3467"/>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467"/>
      <c r="Q21" s="1486"/>
      <c r="R21" s="713"/>
      <c r="S21" s="714"/>
      <c r="T21" s="713"/>
      <c r="U21" s="714"/>
      <c r="V21" s="713"/>
      <c r="W21" s="714"/>
      <c r="X21" s="1489"/>
      <c r="Y21" s="3467"/>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467"/>
      <c r="Q22" s="1486" t="str">
        <f>B22</f>
        <v>楼层</v>
      </c>
      <c r="R22" s="713" t="s">
        <v>17</v>
      </c>
      <c r="S22" s="714">
        <f>F22</f>
        <v>100</v>
      </c>
      <c r="T22" s="713" t="s">
        <v>17</v>
      </c>
      <c r="U22" s="714">
        <f>H22</f>
        <v>100</v>
      </c>
      <c r="V22" s="713" t="s">
        <v>17</v>
      </c>
      <c r="W22" s="714">
        <f>J22</f>
        <v>100</v>
      </c>
      <c r="X22" s="1489"/>
      <c r="Y22" s="3467"/>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467"/>
      <c r="Q23" s="1486">
        <f>B23</f>
        <v>111</v>
      </c>
      <c r="R23" s="713" t="s">
        <v>17</v>
      </c>
      <c r="S23" s="714">
        <f>F23</f>
        <v>100</v>
      </c>
      <c r="T23" s="713" t="s">
        <v>17</v>
      </c>
      <c r="U23" s="714">
        <f>H23</f>
        <v>100</v>
      </c>
      <c r="V23" s="713" t="s">
        <v>17</v>
      </c>
      <c r="W23" s="714">
        <f>J23</f>
        <v>100</v>
      </c>
      <c r="X23" s="1489"/>
      <c r="Y23" s="3467"/>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467"/>
      <c r="Q24" s="1486">
        <f t="shared" ref="Q24:Q36" si="11">B24</f>
        <v>111</v>
      </c>
      <c r="R24" s="713" t="s">
        <v>17</v>
      </c>
      <c r="S24" s="714">
        <f>F24</f>
        <v>100</v>
      </c>
      <c r="T24" s="713" t="s">
        <v>17</v>
      </c>
      <c r="U24" s="714">
        <f>H24</f>
        <v>100</v>
      </c>
      <c r="V24" s="713" t="s">
        <v>17</v>
      </c>
      <c r="W24" s="714">
        <f>J24</f>
        <v>100</v>
      </c>
      <c r="X24" s="1489"/>
      <c r="Y24" s="3467"/>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467"/>
      <c r="Q25" s="1477">
        <f t="shared" si="11"/>
        <v>111</v>
      </c>
      <c r="R25" s="709" t="s">
        <v>17</v>
      </c>
      <c r="S25" s="710">
        <f>F25</f>
        <v>100</v>
      </c>
      <c r="T25" s="709" t="s">
        <v>17</v>
      </c>
      <c r="U25" s="710">
        <f>H25</f>
        <v>100</v>
      </c>
      <c r="V25" s="709" t="s">
        <v>17</v>
      </c>
      <c r="W25" s="710">
        <f>J25</f>
        <v>100</v>
      </c>
      <c r="X25" s="711"/>
      <c r="Y25" s="3467"/>
      <c r="Z25" s="55">
        <f>Q25</f>
        <v>111</v>
      </c>
      <c r="AA25" s="1487">
        <f>D25/F25</f>
        <v>1</v>
      </c>
      <c r="AB25" s="1487">
        <f>D25/H25</f>
        <v>1</v>
      </c>
      <c r="AC25" s="1487">
        <f>D25/J25</f>
        <v>1</v>
      </c>
    </row>
    <row r="26" spans="1:29" ht="28.5">
      <c r="A26" s="607" t="s">
        <v>2143</v>
      </c>
      <c r="B26" s="66"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522"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71"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471"/>
      <c r="Q27" s="715" t="str">
        <f t="shared" si="11"/>
        <v>项目停车位配比</v>
      </c>
      <c r="R27" s="716" t="s">
        <v>17</v>
      </c>
      <c r="S27" s="717">
        <f t="shared" si="12"/>
        <v>100</v>
      </c>
      <c r="T27" s="716" t="s">
        <v>17</v>
      </c>
      <c r="U27" s="717">
        <f t="shared" si="13"/>
        <v>100</v>
      </c>
      <c r="V27" s="716" t="s">
        <v>17</v>
      </c>
      <c r="W27" s="717">
        <f t="shared" si="14"/>
        <v>100</v>
      </c>
      <c r="X27" s="718"/>
      <c r="Y27" s="3471"/>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471"/>
      <c r="Q28" s="1486" t="str">
        <f t="shared" si="11"/>
        <v>公共部分装修</v>
      </c>
      <c r="R28" s="713" t="s">
        <v>17</v>
      </c>
      <c r="S28" s="714">
        <f t="shared" si="12"/>
        <v>100</v>
      </c>
      <c r="T28" s="713" t="s">
        <v>17</v>
      </c>
      <c r="U28" s="714">
        <f t="shared" si="13"/>
        <v>100</v>
      </c>
      <c r="V28" s="713" t="s">
        <v>17</v>
      </c>
      <c r="W28" s="714">
        <f t="shared" si="14"/>
        <v>100</v>
      </c>
      <c r="X28" s="1489"/>
      <c r="Y28" s="3471"/>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471"/>
      <c r="Q29" s="1486" t="str">
        <f t="shared" si="11"/>
        <v>成新率</v>
      </c>
      <c r="R29" s="713" t="s">
        <v>17</v>
      </c>
      <c r="S29" s="714" t="e">
        <f t="shared" si="12"/>
        <v>#N/A</v>
      </c>
      <c r="T29" s="713" t="s">
        <v>17</v>
      </c>
      <c r="U29" s="714" t="e">
        <f t="shared" si="13"/>
        <v>#N/A</v>
      </c>
      <c r="V29" s="713" t="s">
        <v>17</v>
      </c>
      <c r="W29" s="714" t="e">
        <f t="shared" si="14"/>
        <v>#N/A</v>
      </c>
      <c r="X29" s="1489"/>
      <c r="Y29" s="3471"/>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471"/>
      <c r="Q30" s="1486" t="str">
        <f t="shared" si="11"/>
        <v>物业等级</v>
      </c>
      <c r="R30" s="713" t="s">
        <v>17</v>
      </c>
      <c r="S30" s="714">
        <f t="shared" si="12"/>
        <v>100</v>
      </c>
      <c r="T30" s="713" t="s">
        <v>17</v>
      </c>
      <c r="U30" s="714">
        <f t="shared" si="13"/>
        <v>100</v>
      </c>
      <c r="V30" s="713" t="s">
        <v>17</v>
      </c>
      <c r="W30" s="714">
        <f t="shared" si="14"/>
        <v>100</v>
      </c>
      <c r="X30" s="1489"/>
      <c r="Y30" s="3471"/>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471"/>
      <c r="Q31" s="1477" t="str">
        <f t="shared" si="11"/>
        <v>停车位面积</v>
      </c>
      <c r="R31" s="709" t="s">
        <v>17</v>
      </c>
      <c r="S31" s="710" t="e">
        <f t="shared" si="12"/>
        <v>#N/A</v>
      </c>
      <c r="T31" s="709" t="s">
        <v>17</v>
      </c>
      <c r="U31" s="710" t="e">
        <f t="shared" si="13"/>
        <v>#N/A</v>
      </c>
      <c r="V31" s="709" t="s">
        <v>17</v>
      </c>
      <c r="W31" s="710" t="e">
        <f t="shared" si="14"/>
        <v>#N/A</v>
      </c>
      <c r="X31" s="711"/>
      <c r="Y31" s="3471"/>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471" t="s">
        <v>2145</v>
      </c>
      <c r="Q32" s="1486" t="str">
        <f t="shared" si="11"/>
        <v>车位类型</v>
      </c>
      <c r="R32" s="713" t="s">
        <v>17</v>
      </c>
      <c r="S32" s="714">
        <f t="shared" si="12"/>
        <v>100</v>
      </c>
      <c r="T32" s="713" t="s">
        <v>17</v>
      </c>
      <c r="U32" s="714">
        <f t="shared" si="13"/>
        <v>100</v>
      </c>
      <c r="V32" s="713" t="s">
        <v>17</v>
      </c>
      <c r="W32" s="714">
        <f t="shared" si="14"/>
        <v>100</v>
      </c>
      <c r="X32" s="1489"/>
      <c r="Y32" s="3471"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471"/>
      <c r="Q33" s="1486" t="str">
        <f t="shared" si="11"/>
        <v>是否直接入户</v>
      </c>
      <c r="R33" s="713" t="s">
        <v>17</v>
      </c>
      <c r="S33" s="714">
        <f t="shared" si="12"/>
        <v>100</v>
      </c>
      <c r="T33" s="713" t="s">
        <v>17</v>
      </c>
      <c r="U33" s="714">
        <f t="shared" si="13"/>
        <v>100</v>
      </c>
      <c r="V33" s="713" t="s">
        <v>17</v>
      </c>
      <c r="W33" s="714">
        <f t="shared" si="14"/>
        <v>100</v>
      </c>
      <c r="X33" s="1489"/>
      <c r="Y33" s="3471"/>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471"/>
      <c r="Q34" s="1486">
        <f t="shared" si="11"/>
        <v>111</v>
      </c>
      <c r="R34" s="713" t="s">
        <v>17</v>
      </c>
      <c r="S34" s="714">
        <f t="shared" si="12"/>
        <v>100</v>
      </c>
      <c r="T34" s="713" t="s">
        <v>17</v>
      </c>
      <c r="U34" s="714">
        <f t="shared" si="13"/>
        <v>100</v>
      </c>
      <c r="V34" s="713" t="s">
        <v>17</v>
      </c>
      <c r="W34" s="714">
        <f t="shared" si="14"/>
        <v>100</v>
      </c>
      <c r="X34" s="1489"/>
      <c r="Y34" s="3471"/>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471"/>
      <c r="Q35" s="715">
        <f t="shared" si="11"/>
        <v>111</v>
      </c>
      <c r="R35" s="716" t="s">
        <v>17</v>
      </c>
      <c r="S35" s="717">
        <f t="shared" si="12"/>
        <v>100</v>
      </c>
      <c r="T35" s="716" t="s">
        <v>17</v>
      </c>
      <c r="U35" s="717">
        <f t="shared" si="13"/>
        <v>100</v>
      </c>
      <c r="V35" s="716" t="s">
        <v>17</v>
      </c>
      <c r="W35" s="717">
        <f t="shared" si="14"/>
        <v>100</v>
      </c>
      <c r="X35" s="718"/>
      <c r="Y35" s="3471"/>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471"/>
      <c r="Q36" s="1486">
        <f t="shared" si="11"/>
        <v>111</v>
      </c>
      <c r="R36" s="713" t="s">
        <v>17</v>
      </c>
      <c r="S36" s="714">
        <f t="shared" si="12"/>
        <v>100</v>
      </c>
      <c r="T36" s="713" t="s">
        <v>17</v>
      </c>
      <c r="U36" s="714">
        <f t="shared" si="13"/>
        <v>100</v>
      </c>
      <c r="V36" s="713" t="s">
        <v>17</v>
      </c>
      <c r="W36" s="714">
        <f t="shared" si="14"/>
        <v>100</v>
      </c>
      <c r="X36" s="1489"/>
      <c r="Y36" s="3471"/>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464" t="str">
        <f>A37</f>
        <v>成交单价</v>
      </c>
      <c r="Q37" s="3464"/>
      <c r="R37" s="3465">
        <f>E37</f>
        <v>0</v>
      </c>
      <c r="S37" s="3465"/>
      <c r="T37" s="3465">
        <f>G37</f>
        <v>0</v>
      </c>
      <c r="U37" s="3465"/>
      <c r="V37" s="3465">
        <f>I37</f>
        <v>0</v>
      </c>
      <c r="W37" s="3465"/>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464" t="str">
        <f>A38</f>
        <v>比较价值（元/平方米）</v>
      </c>
      <c r="Q38" s="346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461" t="str">
        <f>A39</f>
        <v>估价对象XX用房的比较价值（楼面单价，元/平方米）</v>
      </c>
      <c r="Q39" s="3462"/>
      <c r="R39" s="3523" t="e">
        <f>IF(F1="售价",ROUND(IF(D38="简单平均",AVERAGE(R38:W38),R38*F38+T38*H38+V38*J38),0),ROUND(IF(D38="简单平均",AVERAGE(R38:V38),R38*F38+T38*H38+V38*J38),1))</f>
        <v>#DIV/0!</v>
      </c>
      <c r="S39" s="3523"/>
      <c r="T39" s="3523"/>
      <c r="U39" s="3523"/>
      <c r="V39" s="3523"/>
      <c r="W39" s="3523"/>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89" t="s">
        <v>2227</v>
      </c>
      <c r="S4" s="3490"/>
      <c r="T4" s="3489" t="s">
        <v>2228</v>
      </c>
      <c r="U4" s="3490"/>
      <c r="V4" s="3495" t="s">
        <v>2229</v>
      </c>
      <c r="W4" s="3495"/>
      <c r="X4" s="1489"/>
      <c r="Y4" s="3489" t="s">
        <v>2231</v>
      </c>
      <c r="Z4" s="3490"/>
      <c r="AA4" s="3476" t="s">
        <v>2227</v>
      </c>
      <c r="AB4" s="3477" t="s">
        <v>2228</v>
      </c>
      <c r="AC4" s="3476" t="s">
        <v>2229</v>
      </c>
    </row>
    <row r="5" spans="1:29" ht="15">
      <c r="A5" s="363"/>
      <c r="B5" s="364"/>
      <c r="C5" s="3498" t="s">
        <v>2122</v>
      </c>
      <c r="D5" s="3499"/>
      <c r="E5" s="3505" t="s">
        <v>2123</v>
      </c>
      <c r="F5" s="3506"/>
      <c r="G5" s="3498" t="s">
        <v>2124</v>
      </c>
      <c r="H5" s="3499"/>
      <c r="I5" s="3498" t="s">
        <v>2125</v>
      </c>
      <c r="J5" s="3499"/>
      <c r="K5" s="566"/>
      <c r="L5" s="2893"/>
      <c r="M5" s="2894"/>
      <c r="N5" s="2894"/>
      <c r="O5" s="2894"/>
      <c r="P5" s="3485"/>
      <c r="Q5" s="3486"/>
      <c r="R5" s="3491"/>
      <c r="S5" s="3492"/>
      <c r="T5" s="3491"/>
      <c r="U5" s="3492"/>
      <c r="V5" s="3495"/>
      <c r="W5" s="3495"/>
      <c r="X5" s="1489"/>
      <c r="Y5" s="3491"/>
      <c r="Z5" s="3492"/>
      <c r="AA5" s="3477"/>
      <c r="AB5" s="3477"/>
      <c r="AC5" s="3477"/>
    </row>
    <row r="6" spans="1:29" ht="15.75" thickBot="1">
      <c r="A6" s="365"/>
      <c r="B6" s="366"/>
      <c r="C6" s="3496" t="s">
        <v>2126</v>
      </c>
      <c r="D6" s="3497"/>
      <c r="E6" s="3503" t="s">
        <v>2126</v>
      </c>
      <c r="F6" s="3504"/>
      <c r="G6" s="3496" t="s">
        <v>2126</v>
      </c>
      <c r="H6" s="3497"/>
      <c r="I6" s="3496" t="s">
        <v>2126</v>
      </c>
      <c r="J6" s="3497"/>
      <c r="K6" s="566" t="s">
        <v>2127</v>
      </c>
      <c r="L6" s="2893"/>
      <c r="M6" s="2894"/>
      <c r="N6" s="2894"/>
      <c r="O6" s="2894"/>
      <c r="P6" s="3487"/>
      <c r="Q6" s="3488"/>
      <c r="R6" s="3491"/>
      <c r="S6" s="3492"/>
      <c r="T6" s="3493"/>
      <c r="U6" s="3494"/>
      <c r="V6" s="3495"/>
      <c r="W6" s="3495"/>
      <c r="X6" s="1489"/>
      <c r="Y6" s="3493"/>
      <c r="Z6" s="3494"/>
      <c r="AA6" s="3478"/>
      <c r="AB6" s="3478"/>
      <c r="AC6" s="3478"/>
    </row>
    <row r="7" spans="1:29" s="112" customFormat="1" ht="15.75" thickBot="1">
      <c r="A7" s="367" t="s">
        <v>2128</v>
      </c>
      <c r="B7" s="368"/>
      <c r="C7" s="369">
        <f>'数据-取费表'!B2</f>
        <v>44823</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500" t="s">
        <v>2129</v>
      </c>
      <c r="Q7" s="3502"/>
      <c r="R7" s="709" t="s">
        <v>17</v>
      </c>
      <c r="S7" s="710">
        <f t="shared" ref="S7:S14" si="0">F7</f>
        <v>0</v>
      </c>
      <c r="T7" s="709" t="s">
        <v>17</v>
      </c>
      <c r="U7" s="710">
        <f t="shared" ref="U7:U14" si="1">H7</f>
        <v>0</v>
      </c>
      <c r="V7" s="709" t="s">
        <v>17</v>
      </c>
      <c r="W7" s="710">
        <f t="shared" ref="W7:W14" si="2">J7</f>
        <v>0</v>
      </c>
      <c r="X7" s="711"/>
      <c r="Y7" s="3500" t="s">
        <v>2129</v>
      </c>
      <c r="Z7" s="3501"/>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500" t="s">
        <v>2132</v>
      </c>
      <c r="Q8" s="3501"/>
      <c r="R8" s="709" t="s">
        <v>17</v>
      </c>
      <c r="S8" s="710">
        <f t="shared" si="0"/>
        <v>0</v>
      </c>
      <c r="T8" s="709" t="s">
        <v>17</v>
      </c>
      <c r="U8" s="710">
        <f t="shared" si="1"/>
        <v>0</v>
      </c>
      <c r="V8" s="709" t="s">
        <v>17</v>
      </c>
      <c r="W8" s="710">
        <f t="shared" si="2"/>
        <v>0</v>
      </c>
      <c r="X8" s="711"/>
      <c r="Y8" s="3500" t="s">
        <v>2132</v>
      </c>
      <c r="Z8" s="3501"/>
      <c r="AA8" s="712" t="e">
        <f t="shared" ref="AA8:AA34" si="3">D8/F8</f>
        <v>#DIV/0!</v>
      </c>
      <c r="AB8" s="712" t="e">
        <f t="shared" ref="AB8:AB34" si="4">D8/H8</f>
        <v>#DIV/0!</v>
      </c>
      <c r="AC8" s="712" t="e">
        <f t="shared" ref="AC8:AC34" si="5">D8/J8</f>
        <v>#DIV/0!</v>
      </c>
    </row>
    <row r="9" spans="1:29" s="112"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464" t="s">
        <v>2135</v>
      </c>
      <c r="Q9" s="1477" t="str">
        <f t="shared" ref="Q9:Q14" si="6">B9</f>
        <v>用途</v>
      </c>
      <c r="R9" s="709" t="s">
        <v>17</v>
      </c>
      <c r="S9" s="710">
        <f t="shared" si="0"/>
        <v>100</v>
      </c>
      <c r="T9" s="709" t="s">
        <v>17</v>
      </c>
      <c r="U9" s="710">
        <f t="shared" si="1"/>
        <v>100</v>
      </c>
      <c r="V9" s="709" t="s">
        <v>17</v>
      </c>
      <c r="W9" s="710">
        <f t="shared" si="2"/>
        <v>100</v>
      </c>
      <c r="X9" s="711"/>
      <c r="Y9" s="3336"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464"/>
      <c r="Q10" s="1477" t="str">
        <f t="shared" si="6"/>
        <v>土地使用年限（年）</v>
      </c>
      <c r="R10" s="709" t="s">
        <v>17</v>
      </c>
      <c r="S10" s="710">
        <f t="shared" si="0"/>
        <v>100</v>
      </c>
      <c r="T10" s="709" t="s">
        <v>17</v>
      </c>
      <c r="U10" s="710">
        <f t="shared" si="1"/>
        <v>100</v>
      </c>
      <c r="V10" s="709" t="s">
        <v>17</v>
      </c>
      <c r="W10" s="710">
        <f t="shared" si="2"/>
        <v>100</v>
      </c>
      <c r="X10" s="711"/>
      <c r="Y10" s="3336"/>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464"/>
      <c r="Q11" s="1477">
        <f t="shared" si="6"/>
        <v>111</v>
      </c>
      <c r="R11" s="709" t="s">
        <v>17</v>
      </c>
      <c r="S11" s="710">
        <f t="shared" si="0"/>
        <v>100</v>
      </c>
      <c r="T11" s="709" t="s">
        <v>17</v>
      </c>
      <c r="U11" s="710">
        <f t="shared" si="1"/>
        <v>100</v>
      </c>
      <c r="V11" s="709" t="s">
        <v>17</v>
      </c>
      <c r="W11" s="710">
        <f t="shared" si="2"/>
        <v>100</v>
      </c>
      <c r="X11" s="711"/>
      <c r="Y11" s="3336"/>
      <c r="Z11" s="55">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464"/>
      <c r="Q12" s="1477">
        <f t="shared" si="6"/>
        <v>111</v>
      </c>
      <c r="R12" s="709" t="s">
        <v>17</v>
      </c>
      <c r="S12" s="710">
        <f t="shared" si="0"/>
        <v>100</v>
      </c>
      <c r="T12" s="709" t="s">
        <v>17</v>
      </c>
      <c r="U12" s="710">
        <f t="shared" si="1"/>
        <v>100</v>
      </c>
      <c r="V12" s="709" t="s">
        <v>17</v>
      </c>
      <c r="W12" s="710">
        <f t="shared" si="2"/>
        <v>100</v>
      </c>
      <c r="X12" s="711"/>
      <c r="Y12" s="3336"/>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464"/>
      <c r="Q13" s="1477">
        <f t="shared" si="6"/>
        <v>111</v>
      </c>
      <c r="R13" s="709" t="s">
        <v>17</v>
      </c>
      <c r="S13" s="710">
        <f t="shared" si="0"/>
        <v>100</v>
      </c>
      <c r="T13" s="709" t="s">
        <v>17</v>
      </c>
      <c r="U13" s="710">
        <f t="shared" si="1"/>
        <v>100</v>
      </c>
      <c r="V13" s="709" t="s">
        <v>17</v>
      </c>
      <c r="W13" s="710">
        <f t="shared" si="2"/>
        <v>100</v>
      </c>
      <c r="X13" s="711"/>
      <c r="Y13" s="3336"/>
      <c r="Z13" s="55">
        <f t="shared" si="7"/>
        <v>111</v>
      </c>
      <c r="AA13" s="712">
        <f t="shared" si="3"/>
        <v>1</v>
      </c>
      <c r="AB13" s="712">
        <f t="shared" si="4"/>
        <v>1</v>
      </c>
      <c r="AC13" s="712">
        <f t="shared" si="5"/>
        <v>1</v>
      </c>
    </row>
    <row r="14" spans="1:29" ht="85.5">
      <c r="A14" s="398" t="s">
        <v>2139</v>
      </c>
      <c r="B14" s="65"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466" t="s">
        <v>2140</v>
      </c>
      <c r="Q14" s="1486" t="str">
        <f t="shared" si="6"/>
        <v>交通便捷度</v>
      </c>
      <c r="R14" s="713" t="s">
        <v>17</v>
      </c>
      <c r="S14" s="714">
        <f t="shared" si="0"/>
        <v>100</v>
      </c>
      <c r="T14" s="713" t="s">
        <v>17</v>
      </c>
      <c r="U14" s="714">
        <f t="shared" si="1"/>
        <v>100</v>
      </c>
      <c r="V14" s="713" t="s">
        <v>17</v>
      </c>
      <c r="W14" s="714">
        <f t="shared" si="2"/>
        <v>100</v>
      </c>
      <c r="X14" s="1489"/>
      <c r="Y14" s="3466"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467"/>
      <c r="Q15" s="1486"/>
      <c r="R15" s="713"/>
      <c r="S15" s="714"/>
      <c r="T15" s="713"/>
      <c r="U15" s="714"/>
      <c r="V15" s="713"/>
      <c r="W15" s="714"/>
      <c r="X15" s="1489"/>
      <c r="Y15" s="3467"/>
      <c r="Z15" s="1490"/>
      <c r="AA15" s="1487">
        <v>1</v>
      </c>
      <c r="AB15" s="1487">
        <v>1</v>
      </c>
      <c r="AC15" s="1487">
        <v>1</v>
      </c>
    </row>
    <row r="16" spans="1:29" ht="42.75">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467"/>
      <c r="Q16" s="1486" t="str">
        <f>B16</f>
        <v>公共配套设施</v>
      </c>
      <c r="R16" s="713" t="s">
        <v>17</v>
      </c>
      <c r="S16" s="714">
        <f>F16</f>
        <v>100</v>
      </c>
      <c r="T16" s="713" t="s">
        <v>17</v>
      </c>
      <c r="U16" s="714">
        <f>H16</f>
        <v>100</v>
      </c>
      <c r="V16" s="713" t="s">
        <v>17</v>
      </c>
      <c r="W16" s="714">
        <f>J16</f>
        <v>100</v>
      </c>
      <c r="X16" s="1489"/>
      <c r="Y16" s="3467"/>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467"/>
      <c r="Q17" s="1486"/>
      <c r="R17" s="713"/>
      <c r="S17" s="714"/>
      <c r="T17" s="713"/>
      <c r="U17" s="714"/>
      <c r="V17" s="713"/>
      <c r="W17" s="714"/>
      <c r="X17" s="1489"/>
      <c r="Y17" s="3467"/>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467"/>
      <c r="Q18" s="1486" t="str">
        <f>B18</f>
        <v>基础设施水平</v>
      </c>
      <c r="R18" s="713" t="s">
        <v>17</v>
      </c>
      <c r="S18" s="714">
        <f>F18</f>
        <v>100</v>
      </c>
      <c r="T18" s="713" t="s">
        <v>17</v>
      </c>
      <c r="U18" s="714">
        <f>H18</f>
        <v>100</v>
      </c>
      <c r="V18" s="713" t="s">
        <v>17</v>
      </c>
      <c r="W18" s="714">
        <f>J18</f>
        <v>100</v>
      </c>
      <c r="X18" s="1489"/>
      <c r="Y18" s="3467"/>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467"/>
      <c r="Q19" s="1486"/>
      <c r="R19" s="713"/>
      <c r="S19" s="714"/>
      <c r="T19" s="713"/>
      <c r="U19" s="714"/>
      <c r="V19" s="713"/>
      <c r="W19" s="714"/>
      <c r="X19" s="1489"/>
      <c r="Y19" s="3467"/>
      <c r="Z19" s="1490"/>
      <c r="AA19" s="1487">
        <v>1</v>
      </c>
      <c r="AB19" s="1487">
        <v>1</v>
      </c>
      <c r="AC19" s="1487">
        <v>1</v>
      </c>
    </row>
    <row r="20" spans="1:29" ht="57">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467"/>
      <c r="Q20" s="1486" t="str">
        <f>B20</f>
        <v>自然及人文环境</v>
      </c>
      <c r="R20" s="713" t="s">
        <v>17</v>
      </c>
      <c r="S20" s="714">
        <f>F20</f>
        <v>100</v>
      </c>
      <c r="T20" s="713" t="s">
        <v>17</v>
      </c>
      <c r="U20" s="714">
        <f>H20</f>
        <v>100</v>
      </c>
      <c r="V20" s="713" t="s">
        <v>17</v>
      </c>
      <c r="W20" s="714">
        <f>J20</f>
        <v>100</v>
      </c>
      <c r="X20" s="1489"/>
      <c r="Y20" s="3467"/>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467"/>
      <c r="Q21" s="1486"/>
      <c r="R21" s="713"/>
      <c r="S21" s="714"/>
      <c r="T21" s="713"/>
      <c r="U21" s="714"/>
      <c r="V21" s="713"/>
      <c r="W21" s="714"/>
      <c r="X21" s="1489"/>
      <c r="Y21" s="3467"/>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467"/>
      <c r="Q22" s="1486" t="str">
        <f>B22</f>
        <v>楼层</v>
      </c>
      <c r="R22" s="713" t="s">
        <v>17</v>
      </c>
      <c r="S22" s="714">
        <f>F22</f>
        <v>100</v>
      </c>
      <c r="T22" s="713" t="s">
        <v>17</v>
      </c>
      <c r="U22" s="714">
        <f>H22</f>
        <v>100</v>
      </c>
      <c r="V22" s="713" t="s">
        <v>17</v>
      </c>
      <c r="W22" s="714">
        <f>J22</f>
        <v>100</v>
      </c>
      <c r="X22" s="1489"/>
      <c r="Y22" s="3467"/>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467"/>
      <c r="Q23" s="1486">
        <f>B23</f>
        <v>111</v>
      </c>
      <c r="R23" s="713" t="s">
        <v>17</v>
      </c>
      <c r="S23" s="714">
        <f>F23</f>
        <v>100</v>
      </c>
      <c r="T23" s="713" t="s">
        <v>17</v>
      </c>
      <c r="U23" s="714">
        <f>H23</f>
        <v>100</v>
      </c>
      <c r="V23" s="713" t="s">
        <v>17</v>
      </c>
      <c r="W23" s="714">
        <f>J23</f>
        <v>100</v>
      </c>
      <c r="X23" s="1489"/>
      <c r="Y23" s="3467"/>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467"/>
      <c r="Q24" s="1486">
        <f t="shared" ref="Q24:Q34" si="11">B24</f>
        <v>111</v>
      </c>
      <c r="R24" s="713" t="s">
        <v>17</v>
      </c>
      <c r="S24" s="714">
        <f>F24</f>
        <v>100</v>
      </c>
      <c r="T24" s="713" t="s">
        <v>17</v>
      </c>
      <c r="U24" s="714">
        <f>H24</f>
        <v>100</v>
      </c>
      <c r="V24" s="713" t="s">
        <v>17</v>
      </c>
      <c r="W24" s="714">
        <f>J24</f>
        <v>100</v>
      </c>
      <c r="X24" s="1489"/>
      <c r="Y24" s="3467"/>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467"/>
      <c r="Q25" s="1477">
        <f t="shared" si="11"/>
        <v>111</v>
      </c>
      <c r="R25" s="709" t="s">
        <v>17</v>
      </c>
      <c r="S25" s="710">
        <f>F25</f>
        <v>100</v>
      </c>
      <c r="T25" s="709" t="s">
        <v>17</v>
      </c>
      <c r="U25" s="710">
        <f>H25</f>
        <v>100</v>
      </c>
      <c r="V25" s="709" t="s">
        <v>17</v>
      </c>
      <c r="W25" s="710">
        <f>J25</f>
        <v>100</v>
      </c>
      <c r="X25" s="711"/>
      <c r="Y25" s="3467"/>
      <c r="Z25" s="55">
        <f>Q25</f>
        <v>111</v>
      </c>
      <c r="AA25" s="1487">
        <f>D25/F25</f>
        <v>1</v>
      </c>
      <c r="AB25" s="1487">
        <f>D25/H25</f>
        <v>1</v>
      </c>
      <c r="AC25" s="1487">
        <f>D25/J25</f>
        <v>1</v>
      </c>
    </row>
    <row r="26" spans="1:29" ht="28.5">
      <c r="A26" s="424" t="s">
        <v>2143</v>
      </c>
      <c r="B26" s="67"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522"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71"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471"/>
      <c r="Q27" s="715" t="str">
        <f t="shared" si="11"/>
        <v>成新率</v>
      </c>
      <c r="R27" s="716" t="s">
        <v>17</v>
      </c>
      <c r="S27" s="717" t="e">
        <f t="shared" si="12"/>
        <v>#N/A</v>
      </c>
      <c r="T27" s="716" t="s">
        <v>17</v>
      </c>
      <c r="U27" s="717" t="e">
        <f t="shared" si="13"/>
        <v>#N/A</v>
      </c>
      <c r="V27" s="716" t="s">
        <v>17</v>
      </c>
      <c r="W27" s="717" t="e">
        <f t="shared" si="14"/>
        <v>#N/A</v>
      </c>
      <c r="X27" s="718"/>
      <c r="Y27" s="3471"/>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471"/>
      <c r="Q28" s="1486" t="str">
        <f t="shared" si="11"/>
        <v>物业等级</v>
      </c>
      <c r="R28" s="713" t="s">
        <v>17</v>
      </c>
      <c r="S28" s="714">
        <f t="shared" si="12"/>
        <v>100</v>
      </c>
      <c r="T28" s="713" t="s">
        <v>17</v>
      </c>
      <c r="U28" s="714">
        <f t="shared" si="13"/>
        <v>100</v>
      </c>
      <c r="V28" s="713" t="s">
        <v>17</v>
      </c>
      <c r="W28" s="714">
        <f t="shared" si="14"/>
        <v>100</v>
      </c>
      <c r="X28" s="1489"/>
      <c r="Y28" s="3471"/>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471"/>
      <c r="Q29" s="1486" t="str">
        <f t="shared" si="11"/>
        <v>有无电梯</v>
      </c>
      <c r="R29" s="713" t="s">
        <v>17</v>
      </c>
      <c r="S29" s="714">
        <f t="shared" si="12"/>
        <v>100</v>
      </c>
      <c r="T29" s="713" t="s">
        <v>17</v>
      </c>
      <c r="U29" s="714">
        <f t="shared" si="13"/>
        <v>100</v>
      </c>
      <c r="V29" s="713" t="s">
        <v>17</v>
      </c>
      <c r="W29" s="714">
        <f t="shared" si="14"/>
        <v>100</v>
      </c>
      <c r="X29" s="1489"/>
      <c r="Y29" s="3471"/>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471"/>
      <c r="Q30" s="1486" t="str">
        <f t="shared" si="11"/>
        <v>建筑面积</v>
      </c>
      <c r="R30" s="713" t="s">
        <v>17</v>
      </c>
      <c r="S30" s="714" t="e">
        <f t="shared" si="12"/>
        <v>#N/A</v>
      </c>
      <c r="T30" s="713" t="s">
        <v>17</v>
      </c>
      <c r="U30" s="714" t="e">
        <f t="shared" si="13"/>
        <v>#N/A</v>
      </c>
      <c r="V30" s="713" t="s">
        <v>17</v>
      </c>
      <c r="W30" s="714" t="e">
        <f t="shared" si="14"/>
        <v>#N/A</v>
      </c>
      <c r="X30" s="1489"/>
      <c r="Y30" s="3471"/>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471"/>
      <c r="Q31" s="1477" t="str">
        <f t="shared" si="11"/>
        <v>是否封闭</v>
      </c>
      <c r="R31" s="709" t="s">
        <v>17</v>
      </c>
      <c r="S31" s="710">
        <f t="shared" si="12"/>
        <v>100</v>
      </c>
      <c r="T31" s="709" t="s">
        <v>17</v>
      </c>
      <c r="U31" s="710">
        <f t="shared" si="13"/>
        <v>100</v>
      </c>
      <c r="V31" s="709" t="s">
        <v>17</v>
      </c>
      <c r="W31" s="710">
        <f t="shared" si="14"/>
        <v>100</v>
      </c>
      <c r="X31" s="711"/>
      <c r="Y31" s="3471"/>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471" t="s">
        <v>2145</v>
      </c>
      <c r="Q32" s="1486">
        <f t="shared" si="11"/>
        <v>111</v>
      </c>
      <c r="R32" s="713" t="s">
        <v>17</v>
      </c>
      <c r="S32" s="714">
        <f t="shared" si="12"/>
        <v>100</v>
      </c>
      <c r="T32" s="713" t="s">
        <v>17</v>
      </c>
      <c r="U32" s="714">
        <f t="shared" si="13"/>
        <v>100</v>
      </c>
      <c r="V32" s="713" t="s">
        <v>17</v>
      </c>
      <c r="W32" s="714">
        <f t="shared" si="14"/>
        <v>100</v>
      </c>
      <c r="X32" s="1489"/>
      <c r="Y32" s="3471"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471"/>
      <c r="Q33" s="1486">
        <f t="shared" si="11"/>
        <v>111</v>
      </c>
      <c r="R33" s="713" t="s">
        <v>17</v>
      </c>
      <c r="S33" s="714">
        <f t="shared" si="12"/>
        <v>100</v>
      </c>
      <c r="T33" s="713" t="s">
        <v>17</v>
      </c>
      <c r="U33" s="714">
        <f t="shared" si="13"/>
        <v>100</v>
      </c>
      <c r="V33" s="713" t="s">
        <v>17</v>
      </c>
      <c r="W33" s="714">
        <f t="shared" si="14"/>
        <v>100</v>
      </c>
      <c r="X33" s="1489"/>
      <c r="Y33" s="3471"/>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471"/>
      <c r="Q34" s="1486">
        <f t="shared" si="11"/>
        <v>111</v>
      </c>
      <c r="R34" s="713" t="s">
        <v>17</v>
      </c>
      <c r="S34" s="714">
        <f t="shared" si="12"/>
        <v>100</v>
      </c>
      <c r="T34" s="713" t="s">
        <v>17</v>
      </c>
      <c r="U34" s="714">
        <f t="shared" si="13"/>
        <v>100</v>
      </c>
      <c r="V34" s="713" t="s">
        <v>17</v>
      </c>
      <c r="W34" s="714">
        <f t="shared" si="14"/>
        <v>100</v>
      </c>
      <c r="X34" s="1489"/>
      <c r="Y34" s="3471"/>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464" t="str">
        <f>A35</f>
        <v>成交单价（元/平方米）</v>
      </c>
      <c r="Q35" s="3464"/>
      <c r="R35" s="3465">
        <f>E35</f>
        <v>0</v>
      </c>
      <c r="S35" s="3465"/>
      <c r="T35" s="3465">
        <f>G35</f>
        <v>0</v>
      </c>
      <c r="U35" s="3465"/>
      <c r="V35" s="3465">
        <f>I35</f>
        <v>0</v>
      </c>
      <c r="W35" s="3465"/>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464" t="str">
        <f>A36</f>
        <v>比较价值（元/平方米）</v>
      </c>
      <c r="Q36" s="34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461" t="str">
        <f>A37</f>
        <v>估价对象XX用房的比较价值（楼面单价，元/平方米）</v>
      </c>
      <c r="Q37" s="3462"/>
      <c r="R37" s="3523" t="e">
        <f>IF(F1="售价",ROUND(IF(D36="简单平均",AVERAGE(R36:W36),R36*F36+T36*H36+V36*J36),0),ROUND(IF(D36="简单平均",AVERAGE(R36:V36),R36*F36+T36*H36+V36*J36),1))</f>
        <v>#DIV/0!</v>
      </c>
      <c r="S37" s="3523"/>
      <c r="T37" s="3523"/>
      <c r="U37" s="3523"/>
      <c r="V37" s="3523"/>
      <c r="W37" s="3523"/>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89" t="s">
        <v>2227</v>
      </c>
      <c r="S4" s="3490"/>
      <c r="T4" s="3489" t="s">
        <v>2228</v>
      </c>
      <c r="U4" s="3490"/>
      <c r="V4" s="3495" t="s">
        <v>2229</v>
      </c>
      <c r="W4" s="3495"/>
      <c r="X4" s="1489"/>
      <c r="Y4" s="3489" t="s">
        <v>2231</v>
      </c>
      <c r="Z4" s="3490"/>
      <c r="AA4" s="3476" t="s">
        <v>2227</v>
      </c>
      <c r="AB4" s="3477" t="s">
        <v>2228</v>
      </c>
      <c r="AC4" s="3476" t="s">
        <v>2229</v>
      </c>
    </row>
    <row r="5" spans="1:30" ht="15">
      <c r="A5" s="363"/>
      <c r="B5" s="364"/>
      <c r="C5" s="3498" t="s">
        <v>2122</v>
      </c>
      <c r="D5" s="3499"/>
      <c r="E5" s="3505" t="s">
        <v>2123</v>
      </c>
      <c r="F5" s="3506"/>
      <c r="G5" s="3498" t="s">
        <v>2124</v>
      </c>
      <c r="H5" s="3499"/>
      <c r="I5" s="3498" t="s">
        <v>2125</v>
      </c>
      <c r="J5" s="3499"/>
      <c r="K5" s="566"/>
      <c r="L5" s="2893"/>
      <c r="M5" s="2894"/>
      <c r="N5" s="2894"/>
      <c r="O5" s="2894"/>
      <c r="P5" s="3485"/>
      <c r="Q5" s="3486"/>
      <c r="R5" s="3491"/>
      <c r="S5" s="3492"/>
      <c r="T5" s="3491"/>
      <c r="U5" s="3492"/>
      <c r="V5" s="3495"/>
      <c r="W5" s="3495"/>
      <c r="X5" s="1489"/>
      <c r="Y5" s="3491"/>
      <c r="Z5" s="3492"/>
      <c r="AA5" s="3477"/>
      <c r="AB5" s="3477"/>
      <c r="AC5" s="3477"/>
    </row>
    <row r="6" spans="1:30" ht="15.75" thickBot="1">
      <c r="A6" s="365"/>
      <c r="B6" s="366"/>
      <c r="C6" s="3496" t="s">
        <v>2126</v>
      </c>
      <c r="D6" s="3497"/>
      <c r="E6" s="3503" t="s">
        <v>2126</v>
      </c>
      <c r="F6" s="3504"/>
      <c r="G6" s="3496" t="s">
        <v>2126</v>
      </c>
      <c r="H6" s="3497"/>
      <c r="I6" s="3496" t="s">
        <v>2126</v>
      </c>
      <c r="J6" s="3497"/>
      <c r="K6" s="566" t="s">
        <v>2127</v>
      </c>
      <c r="L6" s="2893"/>
      <c r="M6" s="2894"/>
      <c r="N6" s="2894"/>
      <c r="O6" s="2894"/>
      <c r="P6" s="3487"/>
      <c r="Q6" s="3488"/>
      <c r="R6" s="3491"/>
      <c r="S6" s="3492"/>
      <c r="T6" s="3493"/>
      <c r="U6" s="3494"/>
      <c r="V6" s="3495"/>
      <c r="W6" s="3495"/>
      <c r="X6" s="1489"/>
      <c r="Y6" s="3493"/>
      <c r="Z6" s="3494"/>
      <c r="AA6" s="3478"/>
      <c r="AB6" s="3478"/>
      <c r="AC6" s="3478"/>
    </row>
    <row r="7" spans="1:30" s="112" customFormat="1" ht="15.75" thickBot="1">
      <c r="A7" s="367" t="s">
        <v>2128</v>
      </c>
      <c r="B7" s="368"/>
      <c r="C7" s="369">
        <f>'数据-取费表'!B2</f>
        <v>44823</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500" t="s">
        <v>2129</v>
      </c>
      <c r="Q7" s="3502"/>
      <c r="R7" s="709" t="s">
        <v>17</v>
      </c>
      <c r="S7" s="710">
        <f t="shared" ref="S7:S15" si="0">F7</f>
        <v>0</v>
      </c>
      <c r="T7" s="709" t="s">
        <v>17</v>
      </c>
      <c r="U7" s="710">
        <f t="shared" ref="U7:U15" si="1">H7</f>
        <v>0</v>
      </c>
      <c r="V7" s="709" t="s">
        <v>17</v>
      </c>
      <c r="W7" s="710">
        <f t="shared" ref="W7:W15" si="2">J7</f>
        <v>0</v>
      </c>
      <c r="X7" s="711"/>
      <c r="Y7" s="3500" t="s">
        <v>2129</v>
      </c>
      <c r="Z7" s="3501"/>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500" t="s">
        <v>2132</v>
      </c>
      <c r="Q8" s="3501"/>
      <c r="R8" s="709" t="s">
        <v>17</v>
      </c>
      <c r="S8" s="710">
        <f t="shared" si="0"/>
        <v>0</v>
      </c>
      <c r="T8" s="709" t="s">
        <v>17</v>
      </c>
      <c r="U8" s="710">
        <f t="shared" si="1"/>
        <v>0</v>
      </c>
      <c r="V8" s="709" t="s">
        <v>17</v>
      </c>
      <c r="W8" s="710">
        <f t="shared" si="2"/>
        <v>0</v>
      </c>
      <c r="X8" s="711"/>
      <c r="Y8" s="3500" t="s">
        <v>2132</v>
      </c>
      <c r="Z8" s="3501"/>
      <c r="AA8" s="712" t="e">
        <f t="shared" ref="AA8:AA45" si="3">D8/F8</f>
        <v>#DIV/0!</v>
      </c>
      <c r="AB8" s="712" t="e">
        <f t="shared" ref="AB8:AB45" si="4">D8/H8</f>
        <v>#DIV/0!</v>
      </c>
      <c r="AC8" s="712" t="e">
        <f t="shared" ref="AC8:AC45" si="5">D8/J8</f>
        <v>#DIV/0!</v>
      </c>
    </row>
    <row r="9" spans="1:30" s="112" customFormat="1">
      <c r="A9" s="374" t="s">
        <v>2133</v>
      </c>
      <c r="B9" s="67"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464" t="s">
        <v>2135</v>
      </c>
      <c r="Q9" s="1477" t="str">
        <f t="shared" ref="Q9:Q15" si="6">B9</f>
        <v>用途</v>
      </c>
      <c r="R9" s="709" t="s">
        <v>17</v>
      </c>
      <c r="S9" s="710">
        <f t="shared" si="0"/>
        <v>100</v>
      </c>
      <c r="T9" s="709" t="s">
        <v>17</v>
      </c>
      <c r="U9" s="710">
        <f t="shared" si="1"/>
        <v>100</v>
      </c>
      <c r="V9" s="709" t="s">
        <v>17</v>
      </c>
      <c r="W9" s="710">
        <f t="shared" si="2"/>
        <v>100</v>
      </c>
      <c r="X9" s="711"/>
      <c r="Y9" s="3336" t="s">
        <v>2136</v>
      </c>
      <c r="Z9" s="55"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113</v>
      </c>
      <c r="G10" s="421"/>
      <c r="H10" s="131">
        <f>ROUND(100/'数据-取费表'!G16,0)</f>
        <v>113</v>
      </c>
      <c r="I10" s="421"/>
      <c r="J10" s="131">
        <f>ROUND(100/'数据-取费表'!G16,0)</f>
        <v>113</v>
      </c>
      <c r="K10" s="627"/>
      <c r="L10" s="2897"/>
      <c r="M10" s="2898"/>
      <c r="N10" s="2898"/>
      <c r="O10" s="2951"/>
      <c r="P10" s="3464"/>
      <c r="Q10" s="1477" t="str">
        <f t="shared" si="6"/>
        <v>土地使用年限（年）</v>
      </c>
      <c r="R10" s="709" t="s">
        <v>17</v>
      </c>
      <c r="S10" s="710">
        <f t="shared" si="0"/>
        <v>113</v>
      </c>
      <c r="T10" s="709" t="s">
        <v>17</v>
      </c>
      <c r="U10" s="710">
        <f t="shared" si="1"/>
        <v>113</v>
      </c>
      <c r="V10" s="709" t="s">
        <v>17</v>
      </c>
      <c r="W10" s="710">
        <f t="shared" si="2"/>
        <v>113</v>
      </c>
      <c r="X10" s="711"/>
      <c r="Y10" s="3336"/>
      <c r="Z10" s="55" t="str">
        <f t="shared" si="7"/>
        <v>土地使用年限（年）</v>
      </c>
      <c r="AA10" s="712">
        <f t="shared" si="3"/>
        <v>0.88495575221238942</v>
      </c>
      <c r="AB10" s="712">
        <f t="shared" si="4"/>
        <v>0.88495575221238942</v>
      </c>
      <c r="AC10" s="712">
        <f t="shared" si="5"/>
        <v>0.88495575221238942</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464"/>
      <c r="Q11" s="1477" t="str">
        <f t="shared" si="6"/>
        <v>容积率</v>
      </c>
      <c r="R11" s="709" t="s">
        <v>17</v>
      </c>
      <c r="S11" s="710" t="e">
        <f t="shared" si="0"/>
        <v>#N/A</v>
      </c>
      <c r="T11" s="709" t="s">
        <v>17</v>
      </c>
      <c r="U11" s="710" t="e">
        <f t="shared" si="1"/>
        <v>#N/A</v>
      </c>
      <c r="V11" s="709" t="s">
        <v>17</v>
      </c>
      <c r="W11" s="710" t="e">
        <f t="shared" si="2"/>
        <v>#N/A</v>
      </c>
      <c r="X11" s="711"/>
      <c r="Y11" s="3336"/>
      <c r="Z11" s="55"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464"/>
      <c r="Q12" s="1477" t="str">
        <f t="shared" si="6"/>
        <v>配建</v>
      </c>
      <c r="R12" s="709" t="s">
        <v>17</v>
      </c>
      <c r="S12" s="710">
        <f t="shared" si="0"/>
        <v>100</v>
      </c>
      <c r="T12" s="709" t="s">
        <v>17</v>
      </c>
      <c r="U12" s="710">
        <f t="shared" si="1"/>
        <v>100</v>
      </c>
      <c r="V12" s="709" t="s">
        <v>17</v>
      </c>
      <c r="W12" s="710">
        <f t="shared" si="2"/>
        <v>100</v>
      </c>
      <c r="X12" s="711"/>
      <c r="Y12" s="3336"/>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464"/>
      <c r="Q13" s="1477">
        <f t="shared" si="6"/>
        <v>111</v>
      </c>
      <c r="R13" s="709" t="s">
        <v>17</v>
      </c>
      <c r="S13" s="710">
        <f t="shared" si="0"/>
        <v>100</v>
      </c>
      <c r="T13" s="709" t="s">
        <v>17</v>
      </c>
      <c r="U13" s="710">
        <f t="shared" si="1"/>
        <v>100</v>
      </c>
      <c r="V13" s="709" t="s">
        <v>17</v>
      </c>
      <c r="W13" s="710">
        <f t="shared" si="2"/>
        <v>100</v>
      </c>
      <c r="X13" s="711"/>
      <c r="Y13" s="3336"/>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464"/>
      <c r="Q14" s="1477">
        <f t="shared" si="6"/>
        <v>111</v>
      </c>
      <c r="R14" s="709" t="s">
        <v>17</v>
      </c>
      <c r="S14" s="710">
        <f t="shared" si="0"/>
        <v>100</v>
      </c>
      <c r="T14" s="709" t="s">
        <v>17</v>
      </c>
      <c r="U14" s="710">
        <f t="shared" si="1"/>
        <v>100</v>
      </c>
      <c r="V14" s="709" t="s">
        <v>17</v>
      </c>
      <c r="W14" s="710">
        <f t="shared" si="2"/>
        <v>100</v>
      </c>
      <c r="X14" s="711"/>
      <c r="Y14" s="3336"/>
      <c r="Z14" s="55">
        <f t="shared" si="7"/>
        <v>111</v>
      </c>
      <c r="AA14" s="712">
        <f>D14/F14</f>
        <v>1</v>
      </c>
      <c r="AB14" s="712">
        <f>D14/H14</f>
        <v>1</v>
      </c>
      <c r="AC14" s="712">
        <f>D14/J14</f>
        <v>1</v>
      </c>
    </row>
    <row r="15" spans="1:30" ht="99.75">
      <c r="A15" s="398" t="s">
        <v>2139</v>
      </c>
      <c r="B15" s="65"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466" t="s">
        <v>2140</v>
      </c>
      <c r="Q15" s="1486" t="str">
        <f t="shared" si="6"/>
        <v>居住社区成熟度</v>
      </c>
      <c r="R15" s="713" t="s">
        <v>17</v>
      </c>
      <c r="S15" s="714">
        <f t="shared" si="0"/>
        <v>100</v>
      </c>
      <c r="T15" s="713" t="s">
        <v>17</v>
      </c>
      <c r="U15" s="714">
        <f t="shared" si="1"/>
        <v>100</v>
      </c>
      <c r="V15" s="713" t="s">
        <v>17</v>
      </c>
      <c r="W15" s="714">
        <f t="shared" si="2"/>
        <v>100</v>
      </c>
      <c r="X15" s="1489"/>
      <c r="Y15" s="3466"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467"/>
      <c r="Q16" s="1486"/>
      <c r="R16" s="713"/>
      <c r="S16" s="714"/>
      <c r="T16" s="713"/>
      <c r="U16" s="714"/>
      <c r="V16" s="713"/>
      <c r="W16" s="714"/>
      <c r="X16" s="1489"/>
      <c r="Y16" s="3467"/>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467"/>
      <c r="Q17" s="1486" t="str">
        <f>B17</f>
        <v>商业繁华度</v>
      </c>
      <c r="R17" s="713" t="s">
        <v>17</v>
      </c>
      <c r="S17" s="714">
        <f>F17</f>
        <v>100</v>
      </c>
      <c r="T17" s="713" t="s">
        <v>17</v>
      </c>
      <c r="U17" s="714">
        <f>H17</f>
        <v>100</v>
      </c>
      <c r="V17" s="713" t="s">
        <v>17</v>
      </c>
      <c r="W17" s="714">
        <f>J17</f>
        <v>100</v>
      </c>
      <c r="X17" s="1489"/>
      <c r="Y17" s="3467"/>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467"/>
      <c r="Q18" s="1486"/>
      <c r="R18" s="713"/>
      <c r="S18" s="714"/>
      <c r="T18" s="713"/>
      <c r="U18" s="714"/>
      <c r="V18" s="713"/>
      <c r="W18" s="714"/>
      <c r="X18" s="1489"/>
      <c r="Y18" s="3467"/>
      <c r="Z18" s="1490"/>
      <c r="AA18" s="1487">
        <v>1</v>
      </c>
      <c r="AB18" s="1487">
        <v>1</v>
      </c>
      <c r="AC18" s="1487">
        <v>1</v>
      </c>
    </row>
    <row r="19" spans="1:29" ht="71.25">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467"/>
      <c r="Q19" s="1486" t="str">
        <f>B19</f>
        <v>办公集聚程度</v>
      </c>
      <c r="R19" s="713" t="s">
        <v>17</v>
      </c>
      <c r="S19" s="714">
        <f>F19</f>
        <v>100</v>
      </c>
      <c r="T19" s="713" t="s">
        <v>17</v>
      </c>
      <c r="U19" s="714">
        <f>H19</f>
        <v>100</v>
      </c>
      <c r="V19" s="713" t="s">
        <v>17</v>
      </c>
      <c r="W19" s="714">
        <f>J19</f>
        <v>100</v>
      </c>
      <c r="X19" s="1489"/>
      <c r="Y19" s="3467"/>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467"/>
      <c r="Q20" s="1486"/>
      <c r="R20" s="713"/>
      <c r="S20" s="714"/>
      <c r="T20" s="713"/>
      <c r="U20" s="714"/>
      <c r="V20" s="713"/>
      <c r="W20" s="714"/>
      <c r="X20" s="1489"/>
      <c r="Y20" s="3467"/>
      <c r="Z20" s="1490"/>
      <c r="AA20" s="1487">
        <v>1</v>
      </c>
      <c r="AB20" s="1487">
        <v>1</v>
      </c>
      <c r="AC20" s="1487">
        <v>1</v>
      </c>
    </row>
    <row r="21" spans="1:29" ht="85.5">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467"/>
      <c r="Q21" s="1486" t="str">
        <f>B21</f>
        <v>交通便捷度</v>
      </c>
      <c r="R21" s="713" t="s">
        <v>17</v>
      </c>
      <c r="S21" s="714">
        <f>F21</f>
        <v>100</v>
      </c>
      <c r="T21" s="713" t="s">
        <v>17</v>
      </c>
      <c r="U21" s="714">
        <f>H21</f>
        <v>100</v>
      </c>
      <c r="V21" s="713" t="s">
        <v>17</v>
      </c>
      <c r="W21" s="714">
        <f>J21</f>
        <v>100</v>
      </c>
      <c r="X21" s="1489"/>
      <c r="Y21" s="3467"/>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467"/>
      <c r="Q22" s="1486"/>
      <c r="R22" s="713"/>
      <c r="S22" s="714"/>
      <c r="T22" s="713"/>
      <c r="U22" s="714"/>
      <c r="V22" s="713"/>
      <c r="W22" s="714"/>
      <c r="X22" s="1489"/>
      <c r="Y22" s="3467"/>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467"/>
      <c r="Q23" s="1486" t="str">
        <f t="shared" ref="Q23:Q37" si="8">B23</f>
        <v>区域土地利用方向</v>
      </c>
      <c r="R23" s="713" t="s">
        <v>17</v>
      </c>
      <c r="S23" s="714">
        <f>F23</f>
        <v>100</v>
      </c>
      <c r="T23" s="713" t="s">
        <v>17</v>
      </c>
      <c r="U23" s="714">
        <f>H23</f>
        <v>100</v>
      </c>
      <c r="V23" s="713" t="s">
        <v>17</v>
      </c>
      <c r="W23" s="714">
        <f>J23</f>
        <v>100</v>
      </c>
      <c r="X23" s="1489"/>
      <c r="Y23" s="3467"/>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467"/>
      <c r="Q24" s="1486"/>
      <c r="R24" s="713"/>
      <c r="S24" s="714"/>
      <c r="T24" s="713"/>
      <c r="U24" s="714"/>
      <c r="V24" s="713"/>
      <c r="W24" s="714"/>
      <c r="X24" s="1489"/>
      <c r="Y24" s="3467"/>
      <c r="Z24" s="1490"/>
      <c r="AA24" s="1487"/>
      <c r="AB24" s="1487"/>
      <c r="AC24" s="1487"/>
    </row>
    <row r="25" spans="1:29" ht="57">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467"/>
      <c r="Q25" s="1486" t="str">
        <f t="shared" si="8"/>
        <v>自然及人文环境状况</v>
      </c>
      <c r="R25" s="713" t="s">
        <v>17</v>
      </c>
      <c r="S25" s="714">
        <f>F25</f>
        <v>100</v>
      </c>
      <c r="T25" s="713" t="s">
        <v>17</v>
      </c>
      <c r="U25" s="714">
        <f>H25</f>
        <v>100</v>
      </c>
      <c r="V25" s="713" t="s">
        <v>17</v>
      </c>
      <c r="W25" s="714">
        <f>J25</f>
        <v>100</v>
      </c>
      <c r="X25" s="1489"/>
      <c r="Y25" s="3467"/>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467"/>
      <c r="Q26" s="1486"/>
      <c r="R26" s="713"/>
      <c r="S26" s="714"/>
      <c r="T26" s="713"/>
      <c r="U26" s="714"/>
      <c r="V26" s="713"/>
      <c r="W26" s="714"/>
      <c r="X26" s="1489"/>
      <c r="Y26" s="3467"/>
      <c r="Z26" s="1490"/>
      <c r="AA26" s="1487">
        <v>1</v>
      </c>
      <c r="AB26" s="1487">
        <v>1</v>
      </c>
      <c r="AC26" s="1487">
        <v>1</v>
      </c>
    </row>
    <row r="27" spans="1:29" s="112" customFormat="1" ht="42.75">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467"/>
      <c r="Q27" s="1477" t="str">
        <f t="shared" si="8"/>
        <v>公共配套设施</v>
      </c>
      <c r="R27" s="709" t="s">
        <v>17</v>
      </c>
      <c r="S27" s="710">
        <f>F27</f>
        <v>100</v>
      </c>
      <c r="T27" s="709" t="s">
        <v>17</v>
      </c>
      <c r="U27" s="710">
        <f>H27</f>
        <v>100</v>
      </c>
      <c r="V27" s="709" t="s">
        <v>17</v>
      </c>
      <c r="W27" s="710">
        <f>J27</f>
        <v>100</v>
      </c>
      <c r="X27" s="711"/>
      <c r="Y27" s="3467"/>
      <c r="Z27" s="55"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467"/>
      <c r="Q28" s="1477"/>
      <c r="R28" s="709"/>
      <c r="S28" s="710"/>
      <c r="T28" s="709"/>
      <c r="U28" s="710"/>
      <c r="V28" s="709"/>
      <c r="W28" s="710"/>
      <c r="X28" s="711"/>
      <c r="Y28" s="3467"/>
      <c r="Z28" s="55"/>
      <c r="AA28" s="1487">
        <v>1</v>
      </c>
      <c r="AB28" s="1487">
        <v>1</v>
      </c>
      <c r="AC28" s="1487">
        <v>1</v>
      </c>
    </row>
    <row r="29" spans="1:29" s="112"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467"/>
      <c r="Q29" s="1477" t="str">
        <f t="shared" ref="Q29" si="9">B29</f>
        <v>基础设施水平</v>
      </c>
      <c r="R29" s="709" t="s">
        <v>17</v>
      </c>
      <c r="S29" s="710">
        <f>F29</f>
        <v>100</v>
      </c>
      <c r="T29" s="709" t="s">
        <v>17</v>
      </c>
      <c r="U29" s="710">
        <f>H29</f>
        <v>100</v>
      </c>
      <c r="V29" s="709" t="s">
        <v>17</v>
      </c>
      <c r="W29" s="710">
        <f>J29</f>
        <v>100</v>
      </c>
      <c r="X29" s="711"/>
      <c r="Y29" s="3467"/>
      <c r="Z29" s="55"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467"/>
      <c r="Q30" s="1477"/>
      <c r="R30" s="709"/>
      <c r="S30" s="710"/>
      <c r="T30" s="709"/>
      <c r="U30" s="710"/>
      <c r="V30" s="709"/>
      <c r="W30" s="710"/>
      <c r="X30" s="711"/>
      <c r="Y30" s="3467"/>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467"/>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67"/>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467"/>
      <c r="Q32" s="1486" t="str">
        <f t="shared" si="8"/>
        <v>毗邻道路的类型与等级</v>
      </c>
      <c r="R32" s="713" t="s">
        <v>17</v>
      </c>
      <c r="S32" s="714">
        <f t="shared" si="10"/>
        <v>100</v>
      </c>
      <c r="T32" s="713" t="s">
        <v>17</v>
      </c>
      <c r="U32" s="714">
        <f t="shared" si="11"/>
        <v>100</v>
      </c>
      <c r="V32" s="713" t="s">
        <v>17</v>
      </c>
      <c r="W32" s="714">
        <f t="shared" si="12"/>
        <v>100</v>
      </c>
      <c r="X32" s="1489"/>
      <c r="Y32" s="3467"/>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467"/>
      <c r="Q33" s="1486"/>
      <c r="R33" s="713"/>
      <c r="S33" s="714"/>
      <c r="T33" s="713"/>
      <c r="U33" s="714"/>
      <c r="V33" s="713"/>
      <c r="W33" s="714"/>
      <c r="X33" s="1489"/>
      <c r="Y33" s="3467"/>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467"/>
      <c r="Q34" s="1486" t="str">
        <f t="shared" si="8"/>
        <v>土地级别</v>
      </c>
      <c r="R34" s="713" t="s">
        <v>17</v>
      </c>
      <c r="S34" s="714">
        <f t="shared" si="10"/>
        <v>100</v>
      </c>
      <c r="T34" s="713" t="s">
        <v>17</v>
      </c>
      <c r="U34" s="714">
        <f t="shared" si="11"/>
        <v>100</v>
      </c>
      <c r="V34" s="713" t="s">
        <v>17</v>
      </c>
      <c r="W34" s="714">
        <f t="shared" si="12"/>
        <v>100</v>
      </c>
      <c r="X34" s="1489"/>
      <c r="Y34" s="3467"/>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467"/>
      <c r="Q35" s="1486">
        <f t="shared" si="8"/>
        <v>111</v>
      </c>
      <c r="R35" s="713" t="s">
        <v>17</v>
      </c>
      <c r="S35" s="714">
        <f t="shared" si="10"/>
        <v>100</v>
      </c>
      <c r="T35" s="713" t="s">
        <v>17</v>
      </c>
      <c r="U35" s="714">
        <f t="shared" si="11"/>
        <v>100</v>
      </c>
      <c r="V35" s="713" t="s">
        <v>17</v>
      </c>
      <c r="W35" s="714">
        <f t="shared" si="12"/>
        <v>100</v>
      </c>
      <c r="X35" s="1489"/>
      <c r="Y35" s="3467"/>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522" t="s">
        <v>2145</v>
      </c>
      <c r="Q36" s="1486">
        <f t="shared" si="8"/>
        <v>111</v>
      </c>
      <c r="R36" s="713" t="s">
        <v>17</v>
      </c>
      <c r="S36" s="714">
        <f t="shared" si="10"/>
        <v>100</v>
      </c>
      <c r="T36" s="713" t="s">
        <v>17</v>
      </c>
      <c r="U36" s="714">
        <f t="shared" si="11"/>
        <v>100</v>
      </c>
      <c r="V36" s="713" t="s">
        <v>17</v>
      </c>
      <c r="W36" s="714">
        <f t="shared" si="12"/>
        <v>100</v>
      </c>
      <c r="X36" s="1489"/>
      <c r="Y36" s="3471"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471"/>
      <c r="Q37" s="1486">
        <f t="shared" si="8"/>
        <v>111</v>
      </c>
      <c r="R37" s="716" t="s">
        <v>17</v>
      </c>
      <c r="S37" s="717">
        <f t="shared" si="10"/>
        <v>100</v>
      </c>
      <c r="T37" s="716" t="s">
        <v>17</v>
      </c>
      <c r="U37" s="717">
        <f t="shared" si="11"/>
        <v>100</v>
      </c>
      <c r="V37" s="716" t="s">
        <v>17</v>
      </c>
      <c r="W37" s="717">
        <f t="shared" si="12"/>
        <v>100</v>
      </c>
      <c r="X37" s="718"/>
      <c r="Y37" s="3471"/>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471"/>
      <c r="Q38" s="1486" t="str">
        <f>B38</f>
        <v>宗地面积</v>
      </c>
      <c r="R38" s="713" t="s">
        <v>17</v>
      </c>
      <c r="S38" s="714" t="e">
        <f t="shared" si="10"/>
        <v>#N/A</v>
      </c>
      <c r="T38" s="713" t="s">
        <v>17</v>
      </c>
      <c r="U38" s="714" t="e">
        <f t="shared" si="11"/>
        <v>#N/A</v>
      </c>
      <c r="V38" s="713" t="s">
        <v>17</v>
      </c>
      <c r="W38" s="714" t="e">
        <f t="shared" si="12"/>
        <v>#N/A</v>
      </c>
      <c r="X38" s="1489"/>
      <c r="Y38" s="3471"/>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471"/>
      <c r="Q39" s="1486" t="str">
        <f t="shared" ref="Q39:Q45" si="14">B39</f>
        <v>宗地形状</v>
      </c>
      <c r="R39" s="713" t="s">
        <v>17</v>
      </c>
      <c r="S39" s="714">
        <f t="shared" si="10"/>
        <v>100</v>
      </c>
      <c r="T39" s="713" t="s">
        <v>17</v>
      </c>
      <c r="U39" s="714">
        <f t="shared" si="11"/>
        <v>100</v>
      </c>
      <c r="V39" s="713" t="s">
        <v>17</v>
      </c>
      <c r="W39" s="714">
        <f t="shared" si="12"/>
        <v>100</v>
      </c>
      <c r="X39" s="1489"/>
      <c r="Y39" s="3471"/>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471"/>
      <c r="Q40" s="1486" t="str">
        <f t="shared" si="14"/>
        <v>临街宽度及深度</v>
      </c>
      <c r="R40" s="713" t="s">
        <v>17</v>
      </c>
      <c r="S40" s="714">
        <f t="shared" si="10"/>
        <v>100</v>
      </c>
      <c r="T40" s="713" t="s">
        <v>17</v>
      </c>
      <c r="U40" s="714">
        <f t="shared" si="11"/>
        <v>100</v>
      </c>
      <c r="V40" s="713" t="s">
        <v>17</v>
      </c>
      <c r="W40" s="714">
        <f t="shared" si="12"/>
        <v>100</v>
      </c>
      <c r="X40" s="1489"/>
      <c r="Y40" s="3471"/>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471"/>
      <c r="Q41" s="1486" t="str">
        <f t="shared" si="14"/>
        <v>宗地开发程度</v>
      </c>
      <c r="R41" s="709" t="s">
        <v>17</v>
      </c>
      <c r="S41" s="710">
        <f t="shared" si="10"/>
        <v>100</v>
      </c>
      <c r="T41" s="709" t="s">
        <v>17</v>
      </c>
      <c r="U41" s="710">
        <f t="shared" si="11"/>
        <v>100</v>
      </c>
      <c r="V41" s="709" t="s">
        <v>17</v>
      </c>
      <c r="W41" s="710">
        <f t="shared" si="12"/>
        <v>100</v>
      </c>
      <c r="X41" s="711"/>
      <c r="Y41" s="3471"/>
      <c r="Z41" s="55"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471" t="s">
        <v>2145</v>
      </c>
      <c r="Q42" s="1486" t="str">
        <f t="shared" si="14"/>
        <v>工程地质条件</v>
      </c>
      <c r="R42" s="713" t="s">
        <v>17</v>
      </c>
      <c r="S42" s="714">
        <f t="shared" si="10"/>
        <v>100</v>
      </c>
      <c r="T42" s="713" t="s">
        <v>17</v>
      </c>
      <c r="U42" s="714">
        <f t="shared" si="11"/>
        <v>100</v>
      </c>
      <c r="V42" s="713" t="s">
        <v>17</v>
      </c>
      <c r="W42" s="714">
        <f t="shared" si="12"/>
        <v>100</v>
      </c>
      <c r="X42" s="1489"/>
      <c r="Y42" s="3471"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471"/>
      <c r="Q43" s="1486">
        <f t="shared" si="14"/>
        <v>111</v>
      </c>
      <c r="R43" s="713" t="s">
        <v>17</v>
      </c>
      <c r="S43" s="714">
        <f t="shared" si="10"/>
        <v>100</v>
      </c>
      <c r="T43" s="713" t="s">
        <v>17</v>
      </c>
      <c r="U43" s="714">
        <f t="shared" si="11"/>
        <v>100</v>
      </c>
      <c r="V43" s="713" t="s">
        <v>17</v>
      </c>
      <c r="W43" s="714">
        <f t="shared" si="12"/>
        <v>100</v>
      </c>
      <c r="X43" s="1489"/>
      <c r="Y43" s="3471"/>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471"/>
      <c r="Q44" s="1486">
        <f t="shared" si="14"/>
        <v>111</v>
      </c>
      <c r="R44" s="713" t="s">
        <v>17</v>
      </c>
      <c r="S44" s="714">
        <f t="shared" si="10"/>
        <v>100</v>
      </c>
      <c r="T44" s="713" t="s">
        <v>17</v>
      </c>
      <c r="U44" s="714">
        <f t="shared" si="11"/>
        <v>100</v>
      </c>
      <c r="V44" s="713" t="s">
        <v>17</v>
      </c>
      <c r="W44" s="714">
        <f t="shared" si="12"/>
        <v>100</v>
      </c>
      <c r="X44" s="1489"/>
      <c r="Y44" s="3471"/>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471"/>
      <c r="Q45" s="1486">
        <f t="shared" si="14"/>
        <v>111</v>
      </c>
      <c r="R45" s="716" t="s">
        <v>17</v>
      </c>
      <c r="S45" s="717">
        <f t="shared" si="10"/>
        <v>100</v>
      </c>
      <c r="T45" s="716" t="s">
        <v>17</v>
      </c>
      <c r="U45" s="717">
        <f t="shared" si="11"/>
        <v>100</v>
      </c>
      <c r="V45" s="716" t="s">
        <v>17</v>
      </c>
      <c r="W45" s="717">
        <f t="shared" si="12"/>
        <v>100</v>
      </c>
      <c r="X45" s="718"/>
      <c r="Y45" s="3471"/>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464" t="str">
        <f>A46</f>
        <v>成交单价</v>
      </c>
      <c r="Q46" s="3464"/>
      <c r="R46" s="3495">
        <f>E46</f>
        <v>0</v>
      </c>
      <c r="S46" s="3495"/>
      <c r="T46" s="3495">
        <f>G46</f>
        <v>0</v>
      </c>
      <c r="U46" s="3495"/>
      <c r="V46" s="3495">
        <f>I46</f>
        <v>0</v>
      </c>
      <c r="W46" s="3495"/>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464" t="str">
        <f>A47</f>
        <v>比较价值（元/平方米）</v>
      </c>
      <c r="Q47" s="3464"/>
      <c r="R47" s="3524" t="e">
        <f>ROUND(PRODUCT(R46,AA7:AA45),0)</f>
        <v>#DIV/0!</v>
      </c>
      <c r="S47" s="3524"/>
      <c r="T47" s="3524" t="e">
        <f>ROUND(PRODUCT(T46,AB7:AB45),0)</f>
        <v>#DIV/0!</v>
      </c>
      <c r="U47" s="3524"/>
      <c r="V47" s="3524" t="e">
        <f>ROUND(PRODUCT(V46,AC7:AC45),0)</f>
        <v>#DIV/0!</v>
      </c>
      <c r="W47" s="3524"/>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461" t="str">
        <f>A48</f>
        <v>估价对象XX用房的比较价值（楼面单价，元/平方米）</v>
      </c>
      <c r="Q48" s="3462"/>
      <c r="R48" s="3525" t="e">
        <f>ROUND(IF(D47="简单平均",AVERAGE(R47:W47),R47*F47+T47*H47+V47*J47),0)</f>
        <v>#DIV/0!</v>
      </c>
      <c r="S48" s="3525"/>
      <c r="T48" s="3525"/>
      <c r="U48" s="3525"/>
      <c r="V48" s="3525"/>
      <c r="W48" s="3525"/>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479" t="s">
        <v>2344</v>
      </c>
      <c r="H55" s="3526"/>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125418.93</v>
      </c>
      <c r="F56" s="997" t="e">
        <f t="shared" ref="F56:F64" si="15">ROUND(B56*E56/10000,0)</f>
        <v>#DIV/0!</v>
      </c>
      <c r="G56" s="3475"/>
      <c r="H56" s="3464"/>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48625.24</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174044.16999999998</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2022-9-1</v>
      </c>
      <c r="D67" s="700">
        <f>EDATE(C67,-3)</f>
        <v>44713</v>
      </c>
      <c r="E67" s="700">
        <f>EDATE(D67,-3)</f>
        <v>44621</v>
      </c>
      <c r="F67" s="700">
        <f t="shared" ref="F67:O67" si="18">EDATE(E67,-3)</f>
        <v>44531</v>
      </c>
      <c r="G67" s="700">
        <f t="shared" si="18"/>
        <v>44440</v>
      </c>
      <c r="H67" s="700">
        <f t="shared" si="18"/>
        <v>44348</v>
      </c>
      <c r="I67" s="700">
        <f t="shared" si="18"/>
        <v>44256</v>
      </c>
      <c r="J67" s="700">
        <f t="shared" si="18"/>
        <v>44166</v>
      </c>
      <c r="K67" s="700">
        <f t="shared" si="18"/>
        <v>44075</v>
      </c>
      <c r="L67" s="700">
        <f t="shared" si="18"/>
        <v>43983</v>
      </c>
      <c r="M67" s="700">
        <f t="shared" si="18"/>
        <v>43891</v>
      </c>
      <c r="N67" s="700">
        <f t="shared" si="18"/>
        <v>43800</v>
      </c>
      <c r="O67" s="700">
        <f t="shared" si="18"/>
        <v>43709</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79" t="s">
        <v>2226</v>
      </c>
      <c r="D4" s="3480"/>
      <c r="E4" s="3481" t="s">
        <v>2227</v>
      </c>
      <c r="F4" s="3482"/>
      <c r="G4" s="3479" t="s">
        <v>2228</v>
      </c>
      <c r="H4" s="3480"/>
      <c r="I4" s="3479" t="s">
        <v>2229</v>
      </c>
      <c r="J4" s="3480"/>
      <c r="K4" s="566" t="s">
        <v>2230</v>
      </c>
      <c r="L4" s="2893"/>
      <c r="M4" s="2894"/>
      <c r="N4" s="2894"/>
      <c r="O4" s="2894"/>
      <c r="P4" s="3483" t="s">
        <v>2231</v>
      </c>
      <c r="Q4" s="3484"/>
      <c r="R4" s="3489" t="s">
        <v>2227</v>
      </c>
      <c r="S4" s="3490"/>
      <c r="T4" s="3489" t="s">
        <v>2228</v>
      </c>
      <c r="U4" s="3490"/>
      <c r="V4" s="3495" t="s">
        <v>2229</v>
      </c>
      <c r="W4" s="3495"/>
      <c r="X4" s="1489"/>
      <c r="Y4" s="3489" t="s">
        <v>2231</v>
      </c>
      <c r="Z4" s="3490"/>
      <c r="AA4" s="3476" t="s">
        <v>2227</v>
      </c>
      <c r="AB4" s="3477" t="s">
        <v>2228</v>
      </c>
      <c r="AC4" s="3476" t="s">
        <v>2229</v>
      </c>
    </row>
    <row r="5" spans="1:29" ht="15">
      <c r="A5" s="363"/>
      <c r="B5" s="364"/>
      <c r="C5" s="3498" t="s">
        <v>2122</v>
      </c>
      <c r="D5" s="3499"/>
      <c r="E5" s="3505" t="s">
        <v>2123</v>
      </c>
      <c r="F5" s="3506"/>
      <c r="G5" s="3498" t="s">
        <v>2124</v>
      </c>
      <c r="H5" s="3499"/>
      <c r="I5" s="3498" t="s">
        <v>2125</v>
      </c>
      <c r="J5" s="3499"/>
      <c r="K5" s="566"/>
      <c r="L5" s="2893"/>
      <c r="M5" s="2894"/>
      <c r="N5" s="2894"/>
      <c r="O5" s="2894"/>
      <c r="P5" s="3485"/>
      <c r="Q5" s="3486"/>
      <c r="R5" s="3491"/>
      <c r="S5" s="3492"/>
      <c r="T5" s="3491"/>
      <c r="U5" s="3492"/>
      <c r="V5" s="3495"/>
      <c r="W5" s="3495"/>
      <c r="X5" s="1489"/>
      <c r="Y5" s="3491"/>
      <c r="Z5" s="3492"/>
      <c r="AA5" s="3477"/>
      <c r="AB5" s="3477"/>
      <c r="AC5" s="3477"/>
    </row>
    <row r="6" spans="1:29" ht="15.75" thickBot="1">
      <c r="A6" s="365"/>
      <c r="B6" s="366"/>
      <c r="C6" s="3527" t="s">
        <v>2376</v>
      </c>
      <c r="D6" s="3528"/>
      <c r="E6" s="3529" t="s">
        <v>2376</v>
      </c>
      <c r="F6" s="3530"/>
      <c r="G6" s="3527" t="s">
        <v>2376</v>
      </c>
      <c r="H6" s="3528"/>
      <c r="I6" s="3527" t="s">
        <v>2376</v>
      </c>
      <c r="J6" s="3528"/>
      <c r="K6" s="566" t="s">
        <v>2127</v>
      </c>
      <c r="L6" s="2893"/>
      <c r="M6" s="2894"/>
      <c r="N6" s="2894"/>
      <c r="O6" s="2894"/>
      <c r="P6" s="3487"/>
      <c r="Q6" s="3488"/>
      <c r="R6" s="3491"/>
      <c r="S6" s="3492"/>
      <c r="T6" s="3493"/>
      <c r="U6" s="3494"/>
      <c r="V6" s="3495"/>
      <c r="W6" s="3495"/>
      <c r="X6" s="1489"/>
      <c r="Y6" s="3493"/>
      <c r="Z6" s="3494"/>
      <c r="AA6" s="3478"/>
      <c r="AB6" s="3478"/>
      <c r="AC6" s="3478"/>
    </row>
    <row r="7" spans="1:29" s="112" customFormat="1" ht="15.75" thickBot="1">
      <c r="A7" s="367" t="s">
        <v>2128</v>
      </c>
      <c r="B7" s="368"/>
      <c r="C7" s="369">
        <f>'数据-取费表'!B2</f>
        <v>44823</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500" t="s">
        <v>2129</v>
      </c>
      <c r="Q7" s="3502"/>
      <c r="R7" s="709" t="s">
        <v>17</v>
      </c>
      <c r="S7" s="710">
        <f t="shared" ref="S7:S15" si="0">F7</f>
        <v>0</v>
      </c>
      <c r="T7" s="709" t="s">
        <v>17</v>
      </c>
      <c r="U7" s="710">
        <f t="shared" ref="U7:U15" si="1">H7</f>
        <v>0</v>
      </c>
      <c r="V7" s="709" t="s">
        <v>17</v>
      </c>
      <c r="W7" s="710">
        <f t="shared" ref="W7:W15" si="2">J7</f>
        <v>0</v>
      </c>
      <c r="X7" s="711"/>
      <c r="Y7" s="3500" t="s">
        <v>2129</v>
      </c>
      <c r="Z7" s="3501"/>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500" t="s">
        <v>2132</v>
      </c>
      <c r="Q8" s="3501"/>
      <c r="R8" s="709" t="s">
        <v>17</v>
      </c>
      <c r="S8" s="710">
        <f t="shared" si="0"/>
        <v>0</v>
      </c>
      <c r="T8" s="709" t="s">
        <v>17</v>
      </c>
      <c r="U8" s="710">
        <f t="shared" si="1"/>
        <v>0</v>
      </c>
      <c r="V8" s="709" t="s">
        <v>17</v>
      </c>
      <c r="W8" s="710">
        <f t="shared" si="2"/>
        <v>0</v>
      </c>
      <c r="X8" s="711"/>
      <c r="Y8" s="3500" t="s">
        <v>2132</v>
      </c>
      <c r="Z8" s="3501"/>
      <c r="AA8" s="712" t="e">
        <f t="shared" ref="AA8:AA40" si="3">D8/F8</f>
        <v>#DIV/0!</v>
      </c>
      <c r="AB8" s="712" t="e">
        <f t="shared" ref="AB8:AB40" si="4">D8/H8</f>
        <v>#DIV/0!</v>
      </c>
      <c r="AC8" s="712" t="e">
        <f t="shared" ref="AC8:AC40" si="5">D8/J8</f>
        <v>#DIV/0!</v>
      </c>
    </row>
    <row r="9" spans="1:29" s="112" customFormat="1">
      <c r="A9" s="374" t="s">
        <v>2133</v>
      </c>
      <c r="B9" s="67"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464" t="s">
        <v>2135</v>
      </c>
      <c r="Q9" s="1477" t="str">
        <f t="shared" ref="Q9:Q15" si="6">B9</f>
        <v>用途</v>
      </c>
      <c r="R9" s="709" t="s">
        <v>17</v>
      </c>
      <c r="S9" s="710">
        <f t="shared" si="0"/>
        <v>100</v>
      </c>
      <c r="T9" s="709" t="s">
        <v>17</v>
      </c>
      <c r="U9" s="710">
        <f t="shared" si="1"/>
        <v>100</v>
      </c>
      <c r="V9" s="709" t="s">
        <v>17</v>
      </c>
      <c r="W9" s="710">
        <f t="shared" si="2"/>
        <v>100</v>
      </c>
      <c r="X9" s="711"/>
      <c r="Y9" s="3336"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113</v>
      </c>
      <c r="G10" s="390"/>
      <c r="H10" s="131">
        <f>ROUND(100/'数据-取费表'!G16,0)</f>
        <v>113</v>
      </c>
      <c r="I10" s="390"/>
      <c r="J10" s="131">
        <f>ROUND(100/'数据-取费表'!G16,0)</f>
        <v>113</v>
      </c>
      <c r="K10" s="627"/>
      <c r="L10" s="2897"/>
      <c r="M10" s="2898"/>
      <c r="N10" s="2898"/>
      <c r="O10" s="2951"/>
      <c r="P10" s="3464"/>
      <c r="Q10" s="1477" t="str">
        <f t="shared" si="6"/>
        <v>土地使用年限（年）</v>
      </c>
      <c r="R10" s="709" t="s">
        <v>17</v>
      </c>
      <c r="S10" s="710">
        <f t="shared" si="0"/>
        <v>113</v>
      </c>
      <c r="T10" s="709" t="s">
        <v>17</v>
      </c>
      <c r="U10" s="710">
        <f t="shared" si="1"/>
        <v>113</v>
      </c>
      <c r="V10" s="709" t="s">
        <v>17</v>
      </c>
      <c r="W10" s="710">
        <f t="shared" si="2"/>
        <v>113</v>
      </c>
      <c r="X10" s="711"/>
      <c r="Y10" s="3336"/>
      <c r="Z10" s="55" t="str">
        <f t="shared" si="7"/>
        <v>土地使用年限（年）</v>
      </c>
      <c r="AA10" s="712">
        <f t="shared" si="3"/>
        <v>0.88495575221238942</v>
      </c>
      <c r="AB10" s="712">
        <f t="shared" si="4"/>
        <v>0.88495575221238942</v>
      </c>
      <c r="AC10" s="712">
        <f t="shared" si="5"/>
        <v>0.88495575221238942</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464"/>
      <c r="Q11" s="1477" t="str">
        <f t="shared" si="6"/>
        <v>容积率</v>
      </c>
      <c r="R11" s="709" t="s">
        <v>17</v>
      </c>
      <c r="S11" s="710" t="e">
        <f t="shared" si="0"/>
        <v>#N/A</v>
      </c>
      <c r="T11" s="709" t="s">
        <v>17</v>
      </c>
      <c r="U11" s="710" t="e">
        <f t="shared" si="1"/>
        <v>#N/A</v>
      </c>
      <c r="V11" s="709" t="s">
        <v>17</v>
      </c>
      <c r="W11" s="710" t="e">
        <f t="shared" si="2"/>
        <v>#N/A</v>
      </c>
      <c r="X11" s="711"/>
      <c r="Y11" s="3336"/>
      <c r="Z11" s="55"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464"/>
      <c r="Q12" s="1477">
        <f t="shared" si="6"/>
        <v>111</v>
      </c>
      <c r="R12" s="709" t="s">
        <v>17</v>
      </c>
      <c r="S12" s="710">
        <f t="shared" si="0"/>
        <v>100</v>
      </c>
      <c r="T12" s="709" t="s">
        <v>17</v>
      </c>
      <c r="U12" s="710">
        <f t="shared" si="1"/>
        <v>100</v>
      </c>
      <c r="V12" s="709" t="s">
        <v>17</v>
      </c>
      <c r="W12" s="710">
        <f t="shared" si="2"/>
        <v>100</v>
      </c>
      <c r="X12" s="711"/>
      <c r="Y12" s="3336"/>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464"/>
      <c r="Q13" s="1477">
        <f t="shared" si="6"/>
        <v>111</v>
      </c>
      <c r="R13" s="709" t="s">
        <v>17</v>
      </c>
      <c r="S13" s="710">
        <f t="shared" si="0"/>
        <v>100</v>
      </c>
      <c r="T13" s="709" t="s">
        <v>17</v>
      </c>
      <c r="U13" s="710">
        <f t="shared" si="1"/>
        <v>100</v>
      </c>
      <c r="V13" s="709" t="s">
        <v>17</v>
      </c>
      <c r="W13" s="710">
        <f t="shared" si="2"/>
        <v>100</v>
      </c>
      <c r="X13" s="711"/>
      <c r="Y13" s="3336"/>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464"/>
      <c r="Q14" s="1477">
        <f t="shared" si="6"/>
        <v>111</v>
      </c>
      <c r="R14" s="709" t="s">
        <v>17</v>
      </c>
      <c r="S14" s="710">
        <f t="shared" si="0"/>
        <v>100</v>
      </c>
      <c r="T14" s="709" t="s">
        <v>17</v>
      </c>
      <c r="U14" s="710">
        <f t="shared" si="1"/>
        <v>100</v>
      </c>
      <c r="V14" s="709" t="s">
        <v>17</v>
      </c>
      <c r="W14" s="710">
        <f t="shared" si="2"/>
        <v>100</v>
      </c>
      <c r="X14" s="711"/>
      <c r="Y14" s="3336"/>
      <c r="Z14" s="55">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466" t="s">
        <v>2140</v>
      </c>
      <c r="Q15" s="1486" t="str">
        <f t="shared" si="6"/>
        <v>产业集聚程度</v>
      </c>
      <c r="R15" s="713" t="s">
        <v>17</v>
      </c>
      <c r="S15" s="714">
        <f t="shared" si="0"/>
        <v>100</v>
      </c>
      <c r="T15" s="713" t="s">
        <v>17</v>
      </c>
      <c r="U15" s="714">
        <f t="shared" si="1"/>
        <v>100</v>
      </c>
      <c r="V15" s="713" t="s">
        <v>17</v>
      </c>
      <c r="W15" s="714">
        <f t="shared" si="2"/>
        <v>100</v>
      </c>
      <c r="X15" s="1489"/>
      <c r="Y15" s="3466"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467"/>
      <c r="Q16" s="1486"/>
      <c r="R16" s="713"/>
      <c r="S16" s="714"/>
      <c r="T16" s="713"/>
      <c r="U16" s="714"/>
      <c r="V16" s="713"/>
      <c r="W16" s="714"/>
      <c r="X16" s="1489"/>
      <c r="Y16" s="3467"/>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467"/>
      <c r="Q17" s="1486" t="str">
        <f>B17</f>
        <v>交通便捷度</v>
      </c>
      <c r="R17" s="713" t="s">
        <v>17</v>
      </c>
      <c r="S17" s="714">
        <f>F17</f>
        <v>100</v>
      </c>
      <c r="T17" s="713" t="s">
        <v>17</v>
      </c>
      <c r="U17" s="714">
        <f>H17</f>
        <v>100</v>
      </c>
      <c r="V17" s="713" t="s">
        <v>17</v>
      </c>
      <c r="W17" s="714">
        <f>J17</f>
        <v>100</v>
      </c>
      <c r="X17" s="1489"/>
      <c r="Y17" s="3467"/>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467"/>
      <c r="Q18" s="1486"/>
      <c r="R18" s="713"/>
      <c r="S18" s="714"/>
      <c r="T18" s="713"/>
      <c r="U18" s="714"/>
      <c r="V18" s="713"/>
      <c r="W18" s="714"/>
      <c r="X18" s="1489"/>
      <c r="Y18" s="3467"/>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467"/>
      <c r="Q19" s="1486" t="str">
        <f t="shared" ref="Q19:Q33" si="8">B19</f>
        <v>区域土地利用方向</v>
      </c>
      <c r="R19" s="713" t="s">
        <v>17</v>
      </c>
      <c r="S19" s="714">
        <f>F19</f>
        <v>100</v>
      </c>
      <c r="T19" s="713" t="s">
        <v>17</v>
      </c>
      <c r="U19" s="714">
        <f>H19</f>
        <v>100</v>
      </c>
      <c r="V19" s="713" t="s">
        <v>17</v>
      </c>
      <c r="W19" s="714">
        <f>J19</f>
        <v>100</v>
      </c>
      <c r="X19" s="1489"/>
      <c r="Y19" s="3467"/>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467"/>
      <c r="Q20" s="1486"/>
      <c r="R20" s="713"/>
      <c r="S20" s="714"/>
      <c r="T20" s="713"/>
      <c r="U20" s="714"/>
      <c r="V20" s="713"/>
      <c r="W20" s="714"/>
      <c r="X20" s="1489"/>
      <c r="Y20" s="3467"/>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467"/>
      <c r="Q21" s="1486" t="str">
        <f t="shared" si="8"/>
        <v>环境状况</v>
      </c>
      <c r="R21" s="713" t="s">
        <v>17</v>
      </c>
      <c r="S21" s="714">
        <f>F21</f>
        <v>100</v>
      </c>
      <c r="T21" s="713" t="s">
        <v>17</v>
      </c>
      <c r="U21" s="714">
        <f>H21</f>
        <v>100</v>
      </c>
      <c r="V21" s="713" t="s">
        <v>17</v>
      </c>
      <c r="W21" s="714">
        <f>J21</f>
        <v>100</v>
      </c>
      <c r="X21" s="1489"/>
      <c r="Y21" s="3467"/>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467"/>
      <c r="Q22" s="1486"/>
      <c r="R22" s="713"/>
      <c r="S22" s="714"/>
      <c r="T22" s="713"/>
      <c r="U22" s="714"/>
      <c r="V22" s="713"/>
      <c r="W22" s="714"/>
      <c r="X22" s="1489"/>
      <c r="Y22" s="3467"/>
      <c r="Z22" s="1490"/>
      <c r="AA22" s="1487">
        <v>1</v>
      </c>
      <c r="AB22" s="1487">
        <v>1</v>
      </c>
      <c r="AC22" s="1487">
        <v>1</v>
      </c>
    </row>
    <row r="23" spans="1:29" s="112"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467"/>
      <c r="Q23" s="1477" t="str">
        <f t="shared" si="8"/>
        <v>公共配套设施</v>
      </c>
      <c r="R23" s="709" t="s">
        <v>17</v>
      </c>
      <c r="S23" s="710">
        <f>F23</f>
        <v>100</v>
      </c>
      <c r="T23" s="709" t="s">
        <v>17</v>
      </c>
      <c r="U23" s="710">
        <f>H23</f>
        <v>100</v>
      </c>
      <c r="V23" s="709" t="s">
        <v>17</v>
      </c>
      <c r="W23" s="710">
        <f>J23</f>
        <v>100</v>
      </c>
      <c r="X23" s="711"/>
      <c r="Y23" s="3467"/>
      <c r="Z23" s="55"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467"/>
      <c r="Q24" s="1477"/>
      <c r="R24" s="709"/>
      <c r="S24" s="710"/>
      <c r="T24" s="709"/>
      <c r="U24" s="710"/>
      <c r="V24" s="709"/>
      <c r="W24" s="710"/>
      <c r="X24" s="711"/>
      <c r="Y24" s="3467"/>
      <c r="Z24" s="55"/>
      <c r="AA24" s="712">
        <v>1</v>
      </c>
      <c r="AB24" s="712">
        <v>1</v>
      </c>
      <c r="AC24" s="712">
        <v>1</v>
      </c>
    </row>
    <row r="25" spans="1:29" s="112"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467"/>
      <c r="Q25" s="1477" t="str">
        <f t="shared" ref="Q25" si="9">B25</f>
        <v>基础设施水平</v>
      </c>
      <c r="R25" s="709" t="s">
        <v>17</v>
      </c>
      <c r="S25" s="710">
        <f>F25</f>
        <v>100</v>
      </c>
      <c r="T25" s="709" t="s">
        <v>17</v>
      </c>
      <c r="U25" s="710">
        <f>H25</f>
        <v>100</v>
      </c>
      <c r="V25" s="709" t="s">
        <v>17</v>
      </c>
      <c r="W25" s="710">
        <f>J25</f>
        <v>100</v>
      </c>
      <c r="X25" s="711"/>
      <c r="Y25" s="3467"/>
      <c r="Z25" s="55"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467"/>
      <c r="Q26" s="1477"/>
      <c r="R26" s="709"/>
      <c r="S26" s="710"/>
      <c r="T26" s="709"/>
      <c r="U26" s="710"/>
      <c r="V26" s="709"/>
      <c r="W26" s="710"/>
      <c r="X26" s="711"/>
      <c r="Y26" s="3467"/>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467"/>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67"/>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467"/>
      <c r="Q28" s="1486" t="str">
        <f t="shared" si="8"/>
        <v>毗邻道路的类型与等级</v>
      </c>
      <c r="R28" s="713" t="s">
        <v>17</v>
      </c>
      <c r="S28" s="714">
        <f t="shared" si="10"/>
        <v>100</v>
      </c>
      <c r="T28" s="713" t="s">
        <v>17</v>
      </c>
      <c r="U28" s="714">
        <f t="shared" si="11"/>
        <v>100</v>
      </c>
      <c r="V28" s="713" t="s">
        <v>17</v>
      </c>
      <c r="W28" s="714">
        <f t="shared" si="12"/>
        <v>100</v>
      </c>
      <c r="X28" s="1489"/>
      <c r="Y28" s="3467"/>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467"/>
      <c r="Q29" s="1486"/>
      <c r="R29" s="713"/>
      <c r="S29" s="714"/>
      <c r="T29" s="713"/>
      <c r="U29" s="714"/>
      <c r="V29" s="713"/>
      <c r="W29" s="714"/>
      <c r="X29" s="1489"/>
      <c r="Y29" s="3467"/>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467"/>
      <c r="Q30" s="1486" t="str">
        <f t="shared" si="8"/>
        <v>土地级别</v>
      </c>
      <c r="R30" s="713" t="s">
        <v>17</v>
      </c>
      <c r="S30" s="714">
        <f t="shared" si="10"/>
        <v>100</v>
      </c>
      <c r="T30" s="713" t="s">
        <v>17</v>
      </c>
      <c r="U30" s="714">
        <f t="shared" si="11"/>
        <v>100</v>
      </c>
      <c r="V30" s="713" t="s">
        <v>17</v>
      </c>
      <c r="W30" s="714">
        <f t="shared" si="12"/>
        <v>100</v>
      </c>
      <c r="X30" s="1489"/>
      <c r="Y30" s="3467"/>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467"/>
      <c r="Q31" s="1486">
        <f t="shared" si="8"/>
        <v>111</v>
      </c>
      <c r="R31" s="713" t="s">
        <v>17</v>
      </c>
      <c r="S31" s="714">
        <f t="shared" si="10"/>
        <v>100</v>
      </c>
      <c r="T31" s="713" t="s">
        <v>17</v>
      </c>
      <c r="U31" s="714">
        <f t="shared" si="11"/>
        <v>100</v>
      </c>
      <c r="V31" s="713" t="s">
        <v>17</v>
      </c>
      <c r="W31" s="714">
        <f t="shared" si="12"/>
        <v>100</v>
      </c>
      <c r="X31" s="1489"/>
      <c r="Y31" s="3467"/>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522" t="s">
        <v>2145</v>
      </c>
      <c r="Q32" s="1486">
        <f t="shared" si="8"/>
        <v>111</v>
      </c>
      <c r="R32" s="713" t="s">
        <v>17</v>
      </c>
      <c r="S32" s="714">
        <f t="shared" si="10"/>
        <v>100</v>
      </c>
      <c r="T32" s="713" t="s">
        <v>17</v>
      </c>
      <c r="U32" s="714">
        <f t="shared" si="11"/>
        <v>100</v>
      </c>
      <c r="V32" s="713" t="s">
        <v>17</v>
      </c>
      <c r="W32" s="714">
        <f t="shared" si="12"/>
        <v>100</v>
      </c>
      <c r="X32" s="1489"/>
      <c r="Y32" s="3471"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471"/>
      <c r="Q33" s="1486">
        <f t="shared" si="8"/>
        <v>111</v>
      </c>
      <c r="R33" s="716" t="s">
        <v>17</v>
      </c>
      <c r="S33" s="717">
        <f t="shared" si="10"/>
        <v>100</v>
      </c>
      <c r="T33" s="716" t="s">
        <v>17</v>
      </c>
      <c r="U33" s="717">
        <f t="shared" si="11"/>
        <v>100</v>
      </c>
      <c r="V33" s="716" t="s">
        <v>17</v>
      </c>
      <c r="W33" s="717">
        <f t="shared" si="12"/>
        <v>100</v>
      </c>
      <c r="X33" s="718"/>
      <c r="Y33" s="3471"/>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471"/>
      <c r="Q34" s="1486" t="str">
        <f>B34</f>
        <v>宗地面积</v>
      </c>
      <c r="R34" s="713" t="s">
        <v>17</v>
      </c>
      <c r="S34" s="714" t="e">
        <f t="shared" si="10"/>
        <v>#N/A</v>
      </c>
      <c r="T34" s="713" t="s">
        <v>17</v>
      </c>
      <c r="U34" s="714" t="e">
        <f t="shared" si="11"/>
        <v>#N/A</v>
      </c>
      <c r="V34" s="713" t="s">
        <v>17</v>
      </c>
      <c r="W34" s="714" t="e">
        <f t="shared" si="12"/>
        <v>#N/A</v>
      </c>
      <c r="X34" s="1489"/>
      <c r="Y34" s="3471"/>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471"/>
      <c r="Q35" s="1486" t="str">
        <f t="shared" ref="Q35:Q40" si="14">B35</f>
        <v>宗地形状</v>
      </c>
      <c r="R35" s="713" t="s">
        <v>17</v>
      </c>
      <c r="S35" s="714">
        <f t="shared" si="10"/>
        <v>100</v>
      </c>
      <c r="T35" s="713" t="s">
        <v>17</v>
      </c>
      <c r="U35" s="714">
        <f t="shared" si="11"/>
        <v>100</v>
      </c>
      <c r="V35" s="713" t="s">
        <v>17</v>
      </c>
      <c r="W35" s="714">
        <f t="shared" si="12"/>
        <v>100</v>
      </c>
      <c r="X35" s="1489"/>
      <c r="Y35" s="3471"/>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471"/>
      <c r="Q36" s="1486" t="str">
        <f t="shared" si="14"/>
        <v>宗地开发程度</v>
      </c>
      <c r="R36" s="709" t="s">
        <v>17</v>
      </c>
      <c r="S36" s="710">
        <f t="shared" si="10"/>
        <v>100</v>
      </c>
      <c r="T36" s="709" t="s">
        <v>17</v>
      </c>
      <c r="U36" s="710">
        <f t="shared" si="11"/>
        <v>100</v>
      </c>
      <c r="V36" s="709" t="s">
        <v>17</v>
      </c>
      <c r="W36" s="710">
        <f t="shared" si="12"/>
        <v>100</v>
      </c>
      <c r="X36" s="711"/>
      <c r="Y36" s="3471"/>
      <c r="Z36" s="55"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471" t="s">
        <v>2145</v>
      </c>
      <c r="Q37" s="1486" t="str">
        <f t="shared" si="14"/>
        <v>工程地质条件</v>
      </c>
      <c r="R37" s="713" t="s">
        <v>17</v>
      </c>
      <c r="S37" s="714">
        <f t="shared" si="10"/>
        <v>100</v>
      </c>
      <c r="T37" s="713" t="s">
        <v>17</v>
      </c>
      <c r="U37" s="714">
        <f t="shared" si="11"/>
        <v>100</v>
      </c>
      <c r="V37" s="713" t="s">
        <v>17</v>
      </c>
      <c r="W37" s="714">
        <f t="shared" si="12"/>
        <v>100</v>
      </c>
      <c r="X37" s="1489"/>
      <c r="Y37" s="3471"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471"/>
      <c r="Q38" s="1486">
        <f t="shared" si="14"/>
        <v>111</v>
      </c>
      <c r="R38" s="713" t="s">
        <v>17</v>
      </c>
      <c r="S38" s="714">
        <f t="shared" si="10"/>
        <v>100</v>
      </c>
      <c r="T38" s="713" t="s">
        <v>17</v>
      </c>
      <c r="U38" s="714">
        <f t="shared" si="11"/>
        <v>100</v>
      </c>
      <c r="V38" s="713" t="s">
        <v>17</v>
      </c>
      <c r="W38" s="714">
        <f t="shared" si="12"/>
        <v>100</v>
      </c>
      <c r="X38" s="1489"/>
      <c r="Y38" s="3471"/>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471"/>
      <c r="Q39" s="1486">
        <f t="shared" si="14"/>
        <v>111</v>
      </c>
      <c r="R39" s="713" t="s">
        <v>17</v>
      </c>
      <c r="S39" s="714">
        <f t="shared" si="10"/>
        <v>100</v>
      </c>
      <c r="T39" s="713" t="s">
        <v>17</v>
      </c>
      <c r="U39" s="714">
        <f t="shared" si="11"/>
        <v>100</v>
      </c>
      <c r="V39" s="713" t="s">
        <v>17</v>
      </c>
      <c r="W39" s="714">
        <f t="shared" si="12"/>
        <v>100</v>
      </c>
      <c r="X39" s="1489"/>
      <c r="Y39" s="3471"/>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471"/>
      <c r="Q40" s="1486">
        <f t="shared" si="14"/>
        <v>111</v>
      </c>
      <c r="R40" s="716" t="s">
        <v>17</v>
      </c>
      <c r="S40" s="717">
        <f t="shared" si="10"/>
        <v>100</v>
      </c>
      <c r="T40" s="716" t="s">
        <v>17</v>
      </c>
      <c r="U40" s="717">
        <f t="shared" si="11"/>
        <v>100</v>
      </c>
      <c r="V40" s="716" t="s">
        <v>17</v>
      </c>
      <c r="W40" s="717">
        <f t="shared" si="12"/>
        <v>100</v>
      </c>
      <c r="X40" s="718"/>
      <c r="Y40" s="3471"/>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464" t="str">
        <f>A41</f>
        <v>成交单价</v>
      </c>
      <c r="Q41" s="3464"/>
      <c r="R41" s="3495">
        <f>E41</f>
        <v>0</v>
      </c>
      <c r="S41" s="3495"/>
      <c r="T41" s="3495">
        <f>G41</f>
        <v>0</v>
      </c>
      <c r="U41" s="3495"/>
      <c r="V41" s="3495">
        <f>I41</f>
        <v>0</v>
      </c>
      <c r="W41" s="3495"/>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464" t="str">
        <f>A42</f>
        <v>比较价值（元/平方米）</v>
      </c>
      <c r="Q42" s="3464"/>
      <c r="R42" s="3524" t="e">
        <f>ROUND(PRODUCT(R41,AA7:AA40),0)</f>
        <v>#DIV/0!</v>
      </c>
      <c r="S42" s="3524"/>
      <c r="T42" s="3524" t="e">
        <f>ROUND(PRODUCT(T41,AB7:AB40),0)</f>
        <v>#DIV/0!</v>
      </c>
      <c r="U42" s="3524"/>
      <c r="V42" s="3524" t="e">
        <f>ROUND(PRODUCT(V41,AC7:AC40),0)</f>
        <v>#DIV/0!</v>
      </c>
      <c r="W42" s="3524"/>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461" t="str">
        <f>A43</f>
        <v>估价对象XX用房的比较价值（楼面单价，元/平方米）</v>
      </c>
      <c r="Q43" s="3462"/>
      <c r="R43" s="3525" t="e">
        <f>ROUND(IF(D42="简单平均",AVERAGE(R42:W42),R42*F42+T42*H42+V42*J42),0)</f>
        <v>#DIV/0!</v>
      </c>
      <c r="S43" s="3525"/>
      <c r="T43" s="3525"/>
      <c r="U43" s="3525"/>
      <c r="V43" s="3525"/>
      <c r="W43" s="3525"/>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479" t="s">
        <v>2344</v>
      </c>
      <c r="H50" s="3526"/>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125418.93</v>
      </c>
      <c r="F51" s="646" t="e">
        <f t="shared" ref="F51:F60" si="15">ROUND(B51*E51/10000,0)</f>
        <v>#DIV/0!</v>
      </c>
      <c r="G51" s="3475"/>
      <c r="H51" s="3464"/>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48625.24</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55191.78</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2022-9-1</v>
      </c>
      <c r="D63" s="700">
        <f>EDATE(C63,-3)</f>
        <v>44713</v>
      </c>
      <c r="E63" s="700">
        <f>EDATE(D63,-3)</f>
        <v>44621</v>
      </c>
      <c r="F63" s="700">
        <f t="shared" ref="F63:O63" si="18">EDATE(E63,-3)</f>
        <v>44531</v>
      </c>
      <c r="G63" s="700">
        <f t="shared" si="18"/>
        <v>44440</v>
      </c>
      <c r="H63" s="700">
        <f t="shared" si="18"/>
        <v>44348</v>
      </c>
      <c r="I63" s="700">
        <f t="shared" si="18"/>
        <v>44256</v>
      </c>
      <c r="J63" s="700">
        <f t="shared" si="18"/>
        <v>44166</v>
      </c>
      <c r="K63" s="700">
        <f t="shared" si="18"/>
        <v>44075</v>
      </c>
      <c r="L63" s="700">
        <f t="shared" si="18"/>
        <v>43983</v>
      </c>
      <c r="M63" s="700">
        <f t="shared" si="18"/>
        <v>43891</v>
      </c>
      <c r="N63" s="700">
        <f t="shared" si="18"/>
        <v>43800</v>
      </c>
      <c r="O63" s="700">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2.59</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34"/>
      <c r="B4" s="3535"/>
      <c r="C4" s="3535"/>
      <c r="D4" s="3536"/>
      <c r="E4" s="3536"/>
      <c r="F4" s="3536"/>
      <c r="G4" s="3536"/>
      <c r="H4" s="3536"/>
      <c r="I4" s="3536"/>
      <c r="J4" s="3537"/>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8"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2.59</v>
      </c>
      <c r="AA7" s="1330"/>
      <c r="AB7" s="1330"/>
      <c r="AC7" s="1331"/>
      <c r="AD7" s="1332"/>
      <c r="AE7" s="1332"/>
      <c r="AF7" s="1332"/>
      <c r="AG7" s="1332"/>
      <c r="AH7" s="1332"/>
      <c r="AI7" s="1332"/>
      <c r="AJ7" s="1333"/>
    </row>
    <row r="8" spans="1:36" ht="15">
      <c r="A8" s="3539"/>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31" t="s">
        <v>2419</v>
      </c>
      <c r="X8" s="3532"/>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39"/>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33"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39"/>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33"/>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39"/>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33" t="s">
        <v>2443</v>
      </c>
      <c r="X11" s="1338" t="s">
        <v>2444</v>
      </c>
      <c r="Y11" s="1339">
        <f>$G$3</f>
        <v>2.59</v>
      </c>
      <c r="Z11" s="1339">
        <f t="shared" ref="Z11:AJ11" si="3">$G$3</f>
        <v>2.59</v>
      </c>
      <c r="AA11" s="1339">
        <f t="shared" si="3"/>
        <v>2.59</v>
      </c>
      <c r="AB11" s="1339">
        <f t="shared" si="3"/>
        <v>2.59</v>
      </c>
      <c r="AC11" s="1339">
        <f t="shared" si="3"/>
        <v>2.59</v>
      </c>
      <c r="AD11" s="1339">
        <f t="shared" si="3"/>
        <v>2.59</v>
      </c>
      <c r="AE11" s="1339">
        <f t="shared" si="3"/>
        <v>2.59</v>
      </c>
      <c r="AF11" s="1339">
        <f t="shared" si="3"/>
        <v>2.59</v>
      </c>
      <c r="AG11" s="1339">
        <f t="shared" si="3"/>
        <v>2.59</v>
      </c>
      <c r="AH11" s="1339">
        <f t="shared" si="3"/>
        <v>2.59</v>
      </c>
      <c r="AI11" s="1339">
        <f t="shared" si="3"/>
        <v>2.59</v>
      </c>
      <c r="AJ11" s="1339">
        <f t="shared" si="3"/>
        <v>2.59</v>
      </c>
    </row>
    <row r="12" spans="1:36" ht="25.5" thickBot="1">
      <c r="A12" s="3538"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33"/>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40"/>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33"/>
      <c r="X13" s="1340"/>
      <c r="Y13" s="1337">
        <f>(-0.163*(Y12^2)-0.59*Y12+7617)*(10^(-4))/Y11</f>
        <v>0.2940926640926641</v>
      </c>
      <c r="Z13" s="1337">
        <f t="shared" ref="Z13:AJ13" si="5">(-0.163*(Z12^2)-0.59*Z12+7617)*(10^(-4))/Z11</f>
        <v>0.2940926640926641</v>
      </c>
      <c r="AA13" s="1337">
        <f t="shared" si="5"/>
        <v>0.2940926640926641</v>
      </c>
      <c r="AB13" s="1337">
        <f t="shared" si="5"/>
        <v>0.2940926640926641</v>
      </c>
      <c r="AC13" s="1337">
        <f t="shared" si="5"/>
        <v>0.2940926640926641</v>
      </c>
      <c r="AD13" s="1337">
        <f t="shared" si="5"/>
        <v>0.2940926640926641</v>
      </c>
      <c r="AE13" s="1337">
        <f t="shared" si="5"/>
        <v>0.2940926640926641</v>
      </c>
      <c r="AF13" s="1337">
        <f t="shared" si="5"/>
        <v>0.2940926640926641</v>
      </c>
      <c r="AG13" s="1337">
        <f t="shared" si="5"/>
        <v>0.2940926640926641</v>
      </c>
      <c r="AH13" s="1337">
        <f t="shared" si="5"/>
        <v>0.2940926640926641</v>
      </c>
      <c r="AI13" s="1337">
        <f t="shared" si="5"/>
        <v>0.2940926640926641</v>
      </c>
      <c r="AJ13" s="1337">
        <f t="shared" si="5"/>
        <v>0.2940926640926641</v>
      </c>
    </row>
    <row r="14" spans="1:36" ht="15">
      <c r="A14" s="3540"/>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41"/>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38" t="s">
        <v>2462</v>
      </c>
      <c r="B16" s="2159" t="s">
        <v>2463</v>
      </c>
      <c r="C16" s="2321" t="e">
        <f>ROUND(IF(F17="与级别开发程度一致",0,(G17-E17)/C17),0)</f>
        <v>#DIV/0!</v>
      </c>
      <c r="D16" s="3554" t="s">
        <v>2467</v>
      </c>
      <c r="E16" s="3555"/>
      <c r="F16" s="3554" t="s">
        <v>2464</v>
      </c>
      <c r="G16" s="3555"/>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42"/>
      <c r="B17" s="2332" t="s">
        <v>2466</v>
      </c>
      <c r="C17" s="2333">
        <f>SUMPRODUCT((修正!A2:A7=E2)*(修正!B1:M1=G2)*(修正!B2:M7))</f>
        <v>0</v>
      </c>
      <c r="D17" s="192"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44823</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v>
      </c>
      <c r="E22" s="836">
        <f>ROUNDDOWN(G3,1)</f>
        <v>2.5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2.6</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51"/>
      <c r="B33" s="2262" t="s">
        <v>2509</v>
      </c>
      <c r="C33" s="179" t="e">
        <f>ROUND(D5*C19*C20*C24*F33,0)</f>
        <v>#DIV/0!</v>
      </c>
      <c r="D33" s="2246"/>
      <c r="E33" s="175" t="e">
        <f>ROUND(C33*D33/10000,0)</f>
        <v>#DIV/0!</v>
      </c>
      <c r="F33" s="175">
        <f>SUMIF(修正!A57:A68,G2,修正!B57:B68)</f>
        <v>0</v>
      </c>
      <c r="G33" s="175" t="e">
        <f t="shared" ref="G33" si="6">ROUND(IF(E2="工业",C33*$M$39,C33*$M$38),0)</f>
        <v>#DIV/0!</v>
      </c>
      <c r="H33" s="175">
        <f>D33</f>
        <v>0</v>
      </c>
      <c r="I33" s="175" t="e">
        <f>ROUND(G33*H33/10000,0)</f>
        <v>#DIV/0!</v>
      </c>
      <c r="J33" s="3556"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52"/>
      <c r="B34" s="2179" t="s">
        <v>2510</v>
      </c>
      <c r="C34" s="179" t="e">
        <f>ROUND(D5*C19*C20*C24*F34,0)</f>
        <v>#DIV/0!</v>
      </c>
      <c r="D34" s="2246"/>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52"/>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52"/>
      <c r="B35" s="2179" t="s">
        <v>2511</v>
      </c>
      <c r="C35" s="179" t="e">
        <f>ROUND(D5*C19*C20*C24*F35,0)</f>
        <v>#DIV/0!</v>
      </c>
      <c r="D35" s="2246"/>
      <c r="E35" s="175" t="e">
        <f t="shared" si="7"/>
        <v>#DIV/0!</v>
      </c>
      <c r="F35" s="175">
        <f>SUMIF(修正!A57:A68,G2,修正!D57:D68)</f>
        <v>0</v>
      </c>
      <c r="G35" s="175" t="e">
        <f>ROUND(IF(E2="工业",C35*$M$39,C35*$M$38),0)</f>
        <v>#DIV/0!</v>
      </c>
      <c r="H35" s="175">
        <f t="shared" si="8"/>
        <v>0</v>
      </c>
      <c r="I35" s="175" t="e">
        <f t="shared" si="9"/>
        <v>#DIV/0!</v>
      </c>
      <c r="J35" s="3552"/>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53"/>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553"/>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43" t="s">
        <v>2550</v>
      </c>
      <c r="B90" s="3543"/>
      <c r="C90" s="3543"/>
      <c r="D90" s="3543"/>
      <c r="E90" s="3543"/>
      <c r="F90" s="3543"/>
      <c r="G90" s="3543"/>
      <c r="H90" s="3543"/>
      <c r="I90" s="3543"/>
      <c r="J90" s="3543"/>
      <c r="K90" s="2293"/>
      <c r="L90" s="2293"/>
      <c r="M90" s="2293"/>
      <c r="N90" s="2293"/>
    </row>
    <row r="91" spans="1:37">
      <c r="A91" s="3545" t="s">
        <v>2551</v>
      </c>
      <c r="B91" s="3545" t="s">
        <v>2552</v>
      </c>
      <c r="C91" s="2247" t="s">
        <v>2553</v>
      </c>
      <c r="D91" s="2248"/>
      <c r="E91" s="2248"/>
      <c r="F91" s="2248"/>
      <c r="G91" s="2248"/>
      <c r="H91" s="2248"/>
      <c r="I91" s="2248"/>
      <c r="J91" s="2294"/>
      <c r="K91" s="2295"/>
      <c r="L91" s="2295"/>
      <c r="M91" s="2295"/>
      <c r="N91" s="2295"/>
    </row>
    <row r="92" spans="1:37">
      <c r="A92" s="3545"/>
      <c r="B92" s="3545"/>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46"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7"/>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6" t="s">
        <v>2555</v>
      </c>
      <c r="B101" s="2300" t="s">
        <v>2556</v>
      </c>
      <c r="C101" s="2301">
        <f>$G$3</f>
        <v>2.59</v>
      </c>
      <c r="D101" s="2301">
        <f t="shared" ref="D101:N101" si="31">$G$3</f>
        <v>2.59</v>
      </c>
      <c r="E101" s="2301">
        <f t="shared" si="31"/>
        <v>2.59</v>
      </c>
      <c r="F101" s="2301">
        <f t="shared" si="31"/>
        <v>2.59</v>
      </c>
      <c r="G101" s="2301">
        <f t="shared" si="31"/>
        <v>2.59</v>
      </c>
      <c r="H101" s="2301">
        <f t="shared" si="31"/>
        <v>2.59</v>
      </c>
      <c r="I101" s="2301">
        <f t="shared" si="31"/>
        <v>2.59</v>
      </c>
      <c r="J101" s="2301">
        <f t="shared" si="31"/>
        <v>2.59</v>
      </c>
      <c r="K101" s="2301">
        <f t="shared" si="31"/>
        <v>2.59</v>
      </c>
      <c r="L101" s="2301">
        <f t="shared" si="31"/>
        <v>2.59</v>
      </c>
      <c r="M101" s="2301">
        <f t="shared" si="31"/>
        <v>2.59</v>
      </c>
      <c r="N101" s="2301">
        <f t="shared" si="31"/>
        <v>2.59</v>
      </c>
    </row>
    <row r="102" spans="1:14">
      <c r="A102" s="3547"/>
      <c r="B102" s="2296">
        <v>1</v>
      </c>
      <c r="C102" s="2297">
        <f>1.9362/C101</f>
        <v>0.74756756756756759</v>
      </c>
      <c r="D102" s="2297">
        <f>1.9362/D101</f>
        <v>0.74756756756756759</v>
      </c>
      <c r="E102" s="2297">
        <f>1.8629/E101</f>
        <v>0.71926640926640928</v>
      </c>
      <c r="F102" s="2297">
        <f>1.8629/F101</f>
        <v>0.71926640926640928</v>
      </c>
      <c r="G102" s="2297">
        <f>1.8629/G101</f>
        <v>0.71926640926640928</v>
      </c>
      <c r="H102" s="2297">
        <f>1.8629/H101</f>
        <v>0.71926640926640928</v>
      </c>
      <c r="I102" s="2297">
        <f>1.8629/I101</f>
        <v>0.71926640926640928</v>
      </c>
      <c r="J102" s="2297">
        <f>1.942/J101</f>
        <v>0.74980694980694984</v>
      </c>
      <c r="K102" s="2297">
        <f>1.942/K101</f>
        <v>0.74980694980694984</v>
      </c>
      <c r="L102" s="2297">
        <f>1.942/L101</f>
        <v>0.74980694980694984</v>
      </c>
      <c r="M102" s="2297">
        <f>1.942/M101</f>
        <v>0.74980694980694984</v>
      </c>
      <c r="N102" s="2297">
        <f>1.942/N101</f>
        <v>0.74980694980694984</v>
      </c>
    </row>
    <row r="103" spans="1:14">
      <c r="A103" s="3547"/>
      <c r="B103" s="2296">
        <v>2</v>
      </c>
      <c r="C103" s="2297">
        <f>1.4198/C101</f>
        <v>0.54818532818532817</v>
      </c>
      <c r="D103" s="2297">
        <f>1.4198/D101</f>
        <v>0.54818532818532817</v>
      </c>
      <c r="E103" s="2297">
        <f>1.3372/E101</f>
        <v>0.51629343629343627</v>
      </c>
      <c r="F103" s="2297">
        <f>1.3372/F101</f>
        <v>0.51629343629343627</v>
      </c>
      <c r="G103" s="2297">
        <f>1.3372/G101</f>
        <v>0.51629343629343627</v>
      </c>
      <c r="H103" s="2297">
        <f>1.3372/H101</f>
        <v>0.51629343629343627</v>
      </c>
      <c r="I103" s="2297">
        <f>1.3372/I101</f>
        <v>0.51629343629343627</v>
      </c>
      <c r="J103" s="2297">
        <f>1.2799/J101</f>
        <v>0.49416988416988422</v>
      </c>
      <c r="K103" s="2297">
        <f>1.2799/K101</f>
        <v>0.49416988416988422</v>
      </c>
      <c r="L103" s="2297">
        <f>1.2799/L101</f>
        <v>0.49416988416988422</v>
      </c>
      <c r="M103" s="2297">
        <f>1.2799/M101</f>
        <v>0.49416988416988422</v>
      </c>
      <c r="N103" s="2297">
        <f>1.2799/N101</f>
        <v>0.49416988416988422</v>
      </c>
    </row>
    <row r="104" spans="1:14">
      <c r="A104" s="3547"/>
      <c r="B104" s="2296">
        <v>3</v>
      </c>
      <c r="C104" s="2297">
        <f>1.1594/C101</f>
        <v>0.44764478764478766</v>
      </c>
      <c r="D104" s="2297">
        <f>1.1594/D101</f>
        <v>0.44764478764478766</v>
      </c>
      <c r="E104" s="2297">
        <f>1.0788/E101</f>
        <v>0.41652509652509656</v>
      </c>
      <c r="F104" s="2297">
        <f>1.0788/F101</f>
        <v>0.41652509652509656</v>
      </c>
      <c r="G104" s="2297">
        <f>1.0788/G101</f>
        <v>0.41652509652509656</v>
      </c>
      <c r="H104" s="2297">
        <f>1.0788/H101</f>
        <v>0.41652509652509656</v>
      </c>
      <c r="I104" s="2297">
        <f>1.0788/I101</f>
        <v>0.41652509652509656</v>
      </c>
      <c r="J104" s="2297">
        <f>1.0072/J101</f>
        <v>0.38888030888030894</v>
      </c>
      <c r="K104" s="2297">
        <f>1.0072/K101</f>
        <v>0.38888030888030894</v>
      </c>
      <c r="L104" s="2297">
        <f>1.0072/L101</f>
        <v>0.38888030888030894</v>
      </c>
      <c r="M104" s="2297">
        <f>1.0072/M101</f>
        <v>0.38888030888030894</v>
      </c>
      <c r="N104" s="2297">
        <f>1.0072/N101</f>
        <v>0.38888030888030894</v>
      </c>
    </row>
    <row r="105" spans="1:14">
      <c r="A105" s="3547"/>
      <c r="B105" s="2296">
        <v>4</v>
      </c>
      <c r="C105" s="2297">
        <f>0.9622/C101</f>
        <v>0.37150579150579155</v>
      </c>
      <c r="D105" s="2297">
        <f>0.9622/D101</f>
        <v>0.37150579150579155</v>
      </c>
      <c r="E105" s="2297">
        <f>0.8656/E101</f>
        <v>0.33420849420849424</v>
      </c>
      <c r="F105" s="2297">
        <f>0.8656/F101</f>
        <v>0.33420849420849424</v>
      </c>
      <c r="G105" s="2297">
        <f>0.8656/G101</f>
        <v>0.33420849420849424</v>
      </c>
      <c r="H105" s="2297">
        <f>0.8656/H101</f>
        <v>0.33420849420849424</v>
      </c>
      <c r="I105" s="2297">
        <f>0.8656/I101</f>
        <v>0.33420849420849424</v>
      </c>
      <c r="J105" s="2297">
        <f>0.7525/J101</f>
        <v>0.29054054054054052</v>
      </c>
      <c r="K105" s="2297">
        <f>0.7525/K101</f>
        <v>0.29054054054054052</v>
      </c>
      <c r="L105" s="2297">
        <f>0.7525/L101</f>
        <v>0.29054054054054052</v>
      </c>
      <c r="M105" s="2297">
        <f>0.7525/M101</f>
        <v>0.29054054054054052</v>
      </c>
      <c r="N105" s="2297">
        <f>0.7525/N101</f>
        <v>0.29054054054054052</v>
      </c>
    </row>
    <row r="106" spans="1:14">
      <c r="A106" s="3547"/>
      <c r="B106" s="2296">
        <v>5</v>
      </c>
      <c r="C106" s="2297">
        <f>0.8417/C101</f>
        <v>0.32498069498069498</v>
      </c>
      <c r="D106" s="2297">
        <f>0.8417/D101</f>
        <v>0.32498069498069498</v>
      </c>
      <c r="E106" s="2297">
        <f>0.7371/E101</f>
        <v>0.28459459459459457</v>
      </c>
      <c r="F106" s="2297">
        <f>0.7371/F101</f>
        <v>0.28459459459459457</v>
      </c>
      <c r="G106" s="2297">
        <f>0.7371/G101</f>
        <v>0.28459459459459457</v>
      </c>
      <c r="H106" s="2297">
        <f>0.7371/H101</f>
        <v>0.28459459459459457</v>
      </c>
      <c r="I106" s="2297">
        <f>0.7371/I101</f>
        <v>0.28459459459459457</v>
      </c>
      <c r="J106" s="2297">
        <f>0.5659/J101</f>
        <v>0.2184942084942085</v>
      </c>
      <c r="K106" s="2297">
        <f>0.5659/K101</f>
        <v>0.2184942084942085</v>
      </c>
      <c r="L106" s="2297">
        <f>0.5659/L101</f>
        <v>0.2184942084942085</v>
      </c>
      <c r="M106" s="2297">
        <f>0.5659/M101</f>
        <v>0.2184942084942085</v>
      </c>
      <c r="N106" s="2297">
        <f>0.5659/N101</f>
        <v>0.2184942084942085</v>
      </c>
    </row>
    <row r="107" spans="1:14">
      <c r="A107" s="3547"/>
      <c r="B107" s="2296">
        <v>6</v>
      </c>
      <c r="C107" s="2297">
        <f>0.7608/C101</f>
        <v>0.29374517374517378</v>
      </c>
      <c r="D107" s="2297">
        <f>0.7608/D101</f>
        <v>0.29374517374517378</v>
      </c>
      <c r="E107" s="2297">
        <f>0.6482/E101</f>
        <v>0.25027027027027027</v>
      </c>
      <c r="F107" s="2297">
        <f>0.6482/F101</f>
        <v>0.25027027027027027</v>
      </c>
      <c r="G107" s="2297">
        <f>0.6482/G101</f>
        <v>0.25027027027027027</v>
      </c>
      <c r="H107" s="2297">
        <f>0.6482/H101</f>
        <v>0.25027027027027027</v>
      </c>
      <c r="I107" s="2297">
        <f>0.6482/I101</f>
        <v>0.25027027027027027</v>
      </c>
      <c r="J107" s="2297">
        <f>0.4525/J101</f>
        <v>0.17471042471042472</v>
      </c>
      <c r="K107" s="2297">
        <f>0.4525/K101</f>
        <v>0.17471042471042472</v>
      </c>
      <c r="L107" s="2297">
        <f>0.4525/L101</f>
        <v>0.17471042471042472</v>
      </c>
      <c r="M107" s="2297">
        <f>0.4525/M101</f>
        <v>0.17471042471042472</v>
      </c>
      <c r="N107" s="2297">
        <f>0.4525/N101</f>
        <v>0.17471042471042472</v>
      </c>
    </row>
    <row r="108" spans="1:14">
      <c r="A108" s="3547"/>
      <c r="B108" s="3549"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8"/>
      <c r="B109" s="3550"/>
      <c r="C109" s="2299">
        <f>(-0.163*(C108^2)-0.59*C108+7617)*(10^(-4))/C101</f>
        <v>0.2940926640926641</v>
      </c>
      <c r="D109" s="2299">
        <f>(-0.163*(D108^2)-0.59*D108+7617)*(10^(-4))/D101</f>
        <v>0.2940926640926641</v>
      </c>
      <c r="E109" s="2299">
        <f>(-0.161*(E108^2)-7.509*E108+6533)*(10^(-4))/E101</f>
        <v>0.25223938223938225</v>
      </c>
      <c r="F109" s="2299">
        <f>(-0.161*(F108^2)-7.509*F108+6533)*(10^(-4))/F101</f>
        <v>0.25223938223938225</v>
      </c>
      <c r="G109" s="2299">
        <f>(-0.161*(G108^2)-7.509*G108+6533)*(10^(-4))/G101</f>
        <v>0.25223938223938225</v>
      </c>
      <c r="H109" s="2299">
        <f>(-0.161*(H108^2)-7.509*H108+6533)*(10^(-4))/H101</f>
        <v>0.25223938223938225</v>
      </c>
      <c r="I109" s="2299">
        <f>(-0.161*(I108^2)-7.509*I108+6533)*(10^(-4))/I101</f>
        <v>0.25223938223938225</v>
      </c>
      <c r="J109" s="2299">
        <f>(-0.214*(J108^2)-21.991*J108+4665)*(10^(-4))/J101</f>
        <v>0.18011583011583013</v>
      </c>
      <c r="K109" s="2299">
        <f>(-0.214*(K108^2)-21.991*K108+4665)*(10^(-4))/K101</f>
        <v>0.18011583011583013</v>
      </c>
      <c r="L109" s="2299">
        <f>(-0.214*(L108^2)-21.991*L108+4665)*(10^(-4))/L101</f>
        <v>0.18011583011583013</v>
      </c>
      <c r="M109" s="2299">
        <f>(-0.214*(M108^2)-21.991*M108+4665)*(10^(-4))/M101</f>
        <v>0.18011583011583013</v>
      </c>
      <c r="N109" s="2299">
        <f>(-0.214*(N108^2)-21.991*N108+4665)*(10^(-4))/N101</f>
        <v>0.18011583011583013</v>
      </c>
    </row>
    <row r="110" spans="1:14">
      <c r="A110" s="3544" t="s">
        <v>2558</v>
      </c>
      <c r="B110" s="3544"/>
      <c r="C110" s="3544"/>
      <c r="D110" s="3544"/>
      <c r="E110" s="3544"/>
      <c r="F110" s="3544"/>
      <c r="G110" s="3544"/>
      <c r="H110" s="3544"/>
      <c r="I110" s="3544"/>
      <c r="J110" s="3544"/>
      <c r="K110" s="2302"/>
      <c r="L110" s="2302"/>
      <c r="M110" s="2302"/>
      <c r="N110" s="2302"/>
    </row>
    <row r="112" spans="1:14" ht="13.5" thickBot="1"/>
    <row r="113" spans="1:13" ht="25.5" thickBot="1">
      <c r="A113" s="823" t="s">
        <v>2559</v>
      </c>
      <c r="B113" s="1177">
        <f>G3</f>
        <v>2.59</v>
      </c>
      <c r="C113" s="824" t="s">
        <v>2560</v>
      </c>
      <c r="D113" s="825">
        <f>SUMPRODUCT((A115:A118=F113)*(B114:M114=H113)*B115:M118)</f>
        <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0.90920000000000001</v>
      </c>
      <c r="C115" s="830">
        <f>B115</f>
        <v>0.90920000000000001</v>
      </c>
      <c r="D115" s="830">
        <f>ROUND(0.8331-0.0109*B113,4)</f>
        <v>0.80489999999999995</v>
      </c>
      <c r="E115" s="830">
        <f>D115</f>
        <v>0.80489999999999995</v>
      </c>
      <c r="F115" s="830">
        <f>E115</f>
        <v>0.80489999999999995</v>
      </c>
      <c r="G115" s="830">
        <f>F115</f>
        <v>0.80489999999999995</v>
      </c>
      <c r="H115" s="830">
        <f>G115</f>
        <v>0.80489999999999995</v>
      </c>
      <c r="I115" s="830">
        <f>ROUND(0.689-0.0155*B113,4)</f>
        <v>0.64890000000000003</v>
      </c>
      <c r="J115" s="830">
        <f t="shared" ref="J115:M118" si="33">I115</f>
        <v>0.64890000000000003</v>
      </c>
      <c r="K115" s="830">
        <f t="shared" si="33"/>
        <v>0.64890000000000003</v>
      </c>
      <c r="L115" s="830">
        <f t="shared" si="33"/>
        <v>0.64890000000000003</v>
      </c>
      <c r="M115" s="831">
        <f t="shared" si="33"/>
        <v>0.64890000000000003</v>
      </c>
    </row>
    <row r="116" spans="1:13">
      <c r="A116" s="829" t="s">
        <v>2459</v>
      </c>
      <c r="B116" s="830">
        <f>ROUND(0.949-0.012*B113,4)</f>
        <v>0.91790000000000005</v>
      </c>
      <c r="C116" s="830">
        <f>B116</f>
        <v>0.91790000000000005</v>
      </c>
      <c r="D116" s="830">
        <f>ROUND(0.8567-0.013*B113,4)</f>
        <v>0.82299999999999995</v>
      </c>
      <c r="E116" s="830">
        <f t="shared" ref="E116:H117" si="34">D116</f>
        <v>0.82299999999999995</v>
      </c>
      <c r="F116" s="830">
        <f t="shared" si="34"/>
        <v>0.82299999999999995</v>
      </c>
      <c r="G116" s="830">
        <f t="shared" si="34"/>
        <v>0.82299999999999995</v>
      </c>
      <c r="H116" s="830">
        <f t="shared" si="34"/>
        <v>0.82299999999999995</v>
      </c>
      <c r="I116" s="830">
        <f>ROUND(0.7694-0.014*B113,4)</f>
        <v>0.73309999999999997</v>
      </c>
      <c r="J116" s="830">
        <f t="shared" si="33"/>
        <v>0.73309999999999997</v>
      </c>
      <c r="K116" s="830">
        <f t="shared" si="33"/>
        <v>0.73309999999999997</v>
      </c>
      <c r="L116" s="830">
        <f t="shared" si="33"/>
        <v>0.73309999999999997</v>
      </c>
      <c r="M116" s="831">
        <f t="shared" si="33"/>
        <v>0.73309999999999997</v>
      </c>
    </row>
    <row r="117" spans="1:13">
      <c r="A117" s="829" t="s">
        <v>2460</v>
      </c>
      <c r="B117" s="830">
        <f>ROUND(0.8808-0.006*B113,4)</f>
        <v>0.86529999999999996</v>
      </c>
      <c r="C117" s="830">
        <f>B117</f>
        <v>0.86529999999999996</v>
      </c>
      <c r="D117" s="830">
        <f>ROUND(0.8748-0.008*B113,4)</f>
        <v>0.85409999999999997</v>
      </c>
      <c r="E117" s="830">
        <f t="shared" si="34"/>
        <v>0.85409999999999997</v>
      </c>
      <c r="F117" s="830">
        <f t="shared" si="34"/>
        <v>0.85409999999999997</v>
      </c>
      <c r="G117" s="830">
        <f t="shared" si="34"/>
        <v>0.85409999999999997</v>
      </c>
      <c r="H117" s="830">
        <f t="shared" si="34"/>
        <v>0.85409999999999997</v>
      </c>
      <c r="I117" s="830">
        <f>ROUND(0.7412-0.0095*B113,4)</f>
        <v>0.71660000000000001</v>
      </c>
      <c r="J117" s="830">
        <f t="shared" si="33"/>
        <v>0.71660000000000001</v>
      </c>
      <c r="K117" s="830">
        <f t="shared" si="33"/>
        <v>0.71660000000000001</v>
      </c>
      <c r="L117" s="830">
        <f t="shared" si="33"/>
        <v>0.71660000000000001</v>
      </c>
      <c r="M117" s="831">
        <f t="shared" si="33"/>
        <v>0.71660000000000001</v>
      </c>
    </row>
    <row r="118" spans="1:13" ht="13.5" thickBot="1">
      <c r="A118" s="669" t="s">
        <v>2461</v>
      </c>
      <c r="B118" s="832">
        <f>ROUND(0.7275-0.01*B113,4)</f>
        <v>0.7016</v>
      </c>
      <c r="C118" s="832">
        <f>B118</f>
        <v>0.7016</v>
      </c>
      <c r="D118" s="832">
        <f>ROUND(0.7043-0.012*B113,4)</f>
        <v>0.67320000000000002</v>
      </c>
      <c r="E118" s="832">
        <f>D118</f>
        <v>0.67320000000000002</v>
      </c>
      <c r="F118" s="832">
        <f>E118</f>
        <v>0.67320000000000002</v>
      </c>
      <c r="G118" s="832">
        <f>ROUND(0.6299-0.0122*B113,4)</f>
        <v>0.59830000000000005</v>
      </c>
      <c r="H118" s="832">
        <f>G118</f>
        <v>0.59830000000000005</v>
      </c>
      <c r="I118" s="832">
        <f>ROUND(0.5667-0.0136*B113,4)</f>
        <v>0.53149999999999997</v>
      </c>
      <c r="J118" s="832">
        <f t="shared" si="33"/>
        <v>0.53149999999999997</v>
      </c>
      <c r="K118" s="832">
        <f t="shared" si="33"/>
        <v>0.53149999999999997</v>
      </c>
      <c r="L118" s="832">
        <f t="shared" si="33"/>
        <v>0.53149999999999997</v>
      </c>
      <c r="M118" s="833">
        <f t="shared" si="33"/>
        <v>0.53149999999999997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2951</v>
      </c>
      <c r="B19" s="3209" t="s">
        <v>2952</v>
      </c>
      <c r="C19" s="3210" t="s">
        <v>2953</v>
      </c>
      <c r="D19" s="3211"/>
      <c r="E19" s="3205" t="s">
        <v>2954</v>
      </c>
      <c r="F19" s="802"/>
      <c r="G19" s="802"/>
    </row>
    <row r="20" spans="1:13" s="807" customFormat="1" ht="19.5" customHeight="1">
      <c r="A20" s="3566" t="s">
        <v>2955</v>
      </c>
      <c r="B20" s="3561" t="s">
        <v>2956</v>
      </c>
      <c r="C20" s="3212" t="s">
        <v>2957</v>
      </c>
      <c r="D20" s="3213"/>
      <c r="E20" s="3214">
        <v>1</v>
      </c>
      <c r="F20" s="3215" t="s">
        <v>2958</v>
      </c>
      <c r="G20" s="806"/>
      <c r="H20" s="800"/>
      <c r="I20" s="800"/>
    </row>
    <row r="21" spans="1:13" s="807" customFormat="1" ht="19.5" customHeight="1">
      <c r="A21" s="3567"/>
      <c r="B21" s="3560"/>
      <c r="C21" s="804" t="s">
        <v>2959</v>
      </c>
      <c r="D21" s="805"/>
      <c r="E21" s="3216">
        <v>1</v>
      </c>
      <c r="F21" s="3215" t="s">
        <v>2960</v>
      </c>
      <c r="G21" s="806"/>
      <c r="H21" s="800"/>
      <c r="I21" s="800"/>
    </row>
    <row r="22" spans="1:13" s="807" customFormat="1" ht="19.5" customHeight="1">
      <c r="A22" s="3567"/>
      <c r="B22" s="3560"/>
      <c r="C22" s="804" t="s">
        <v>2961</v>
      </c>
      <c r="D22" s="805"/>
      <c r="E22" s="3216">
        <v>0.9</v>
      </c>
      <c r="F22" s="3215" t="s">
        <v>2962</v>
      </c>
      <c r="G22" s="806"/>
      <c r="H22" s="800"/>
      <c r="I22" s="800"/>
    </row>
    <row r="23" spans="1:13" s="807" customFormat="1" ht="19.5" customHeight="1">
      <c r="A23" s="3567"/>
      <c r="B23" s="3560"/>
      <c r="C23" s="804" t="s">
        <v>2963</v>
      </c>
      <c r="D23" s="805"/>
      <c r="E23" s="3216">
        <v>0.9</v>
      </c>
      <c r="F23" s="3215" t="s">
        <v>2964</v>
      </c>
      <c r="G23" s="806"/>
      <c r="H23" s="800"/>
      <c r="I23" s="800"/>
    </row>
    <row r="24" spans="1:13" s="807" customFormat="1" ht="19.5" customHeight="1">
      <c r="A24" s="3567"/>
      <c r="B24" s="3560"/>
      <c r="C24" s="804" t="s">
        <v>2965</v>
      </c>
      <c r="D24" s="805"/>
      <c r="E24" s="3216">
        <v>0.8</v>
      </c>
      <c r="F24" s="3215" t="s">
        <v>2966</v>
      </c>
      <c r="G24" s="806"/>
      <c r="H24" s="800"/>
      <c r="I24" s="800"/>
    </row>
    <row r="25" spans="1:13" s="807" customFormat="1" ht="19.5" customHeight="1" thickBot="1">
      <c r="A25" s="3568"/>
      <c r="B25" s="3562"/>
      <c r="C25" s="3217" t="s">
        <v>2967</v>
      </c>
      <c r="D25" s="3218"/>
      <c r="E25" s="3219">
        <v>0.8</v>
      </c>
      <c r="F25" s="3215" t="s">
        <v>2968</v>
      </c>
      <c r="G25" s="806"/>
      <c r="H25" s="800"/>
      <c r="I25" s="800"/>
    </row>
    <row r="26" spans="1:13" s="807" customFormat="1" ht="19.5" customHeight="1" thickBot="1">
      <c r="A26" s="3220" t="s">
        <v>2969</v>
      </c>
      <c r="B26" s="3221" t="s">
        <v>2956</v>
      </c>
      <c r="C26" s="3222" t="s">
        <v>2970</v>
      </c>
      <c r="D26" s="3223"/>
      <c r="E26" s="3224">
        <v>1</v>
      </c>
      <c r="F26" s="3215" t="s">
        <v>2971</v>
      </c>
      <c r="G26" s="806"/>
      <c r="H26" s="800"/>
      <c r="I26" s="800"/>
    </row>
    <row r="27" spans="1:13" s="807" customFormat="1" ht="19.5" customHeight="1">
      <c r="A27" s="3563" t="s">
        <v>2972</v>
      </c>
      <c r="B27" s="3561" t="s">
        <v>2972</v>
      </c>
      <c r="C27" s="3212" t="s">
        <v>2973</v>
      </c>
      <c r="D27" s="3213"/>
      <c r="E27" s="3214">
        <v>1</v>
      </c>
      <c r="F27" s="3215" t="s">
        <v>2974</v>
      </c>
      <c r="G27" s="806"/>
      <c r="H27" s="800"/>
      <c r="I27" s="800"/>
    </row>
    <row r="28" spans="1:13" s="807" customFormat="1" ht="19.5" customHeight="1">
      <c r="A28" s="3564"/>
      <c r="B28" s="3560"/>
      <c r="C28" s="804" t="s">
        <v>2975</v>
      </c>
      <c r="D28" s="805"/>
      <c r="E28" s="3216">
        <v>1</v>
      </c>
      <c r="F28" s="3215" t="s">
        <v>2976</v>
      </c>
      <c r="G28" s="806"/>
      <c r="H28" s="800"/>
      <c r="I28" s="800"/>
    </row>
    <row r="29" spans="1:13" s="807" customFormat="1" ht="19.5" customHeight="1">
      <c r="A29" s="3564"/>
      <c r="B29" s="3560"/>
      <c r="C29" s="804" t="s">
        <v>2977</v>
      </c>
      <c r="D29" s="805"/>
      <c r="E29" s="3216">
        <v>0.8</v>
      </c>
      <c r="F29" s="3215" t="s">
        <v>2978</v>
      </c>
      <c r="G29" s="806"/>
      <c r="H29" s="800"/>
      <c r="I29" s="800"/>
    </row>
    <row r="30" spans="1:13" s="807" customFormat="1" ht="19.5" customHeight="1">
      <c r="A30" s="3564"/>
      <c r="B30" s="3560"/>
      <c r="C30" s="804" t="s">
        <v>2979</v>
      </c>
      <c r="D30" s="805"/>
      <c r="E30" s="3216">
        <v>0.8</v>
      </c>
      <c r="F30" s="3215" t="s">
        <v>2980</v>
      </c>
      <c r="G30" s="806"/>
      <c r="H30" s="800"/>
      <c r="I30" s="800"/>
    </row>
    <row r="31" spans="1:13" s="807" customFormat="1" ht="19.5" customHeight="1">
      <c r="A31" s="3564"/>
      <c r="B31" s="3560"/>
      <c r="C31" s="804" t="s">
        <v>2981</v>
      </c>
      <c r="D31" s="805"/>
      <c r="E31" s="3216">
        <v>0.8</v>
      </c>
      <c r="F31" s="3215" t="s">
        <v>2982</v>
      </c>
      <c r="G31" s="806"/>
      <c r="H31" s="800"/>
      <c r="I31" s="800"/>
    </row>
    <row r="32" spans="1:13" s="807" customFormat="1" ht="19.5" customHeight="1">
      <c r="A32" s="3564"/>
      <c r="B32" s="3560"/>
      <c r="C32" s="804" t="s">
        <v>2983</v>
      </c>
      <c r="D32" s="805"/>
      <c r="E32" s="3216">
        <v>0.7</v>
      </c>
      <c r="F32" s="3215" t="s">
        <v>2984</v>
      </c>
      <c r="G32" s="806"/>
      <c r="H32" s="800"/>
      <c r="I32" s="800"/>
    </row>
    <row r="33" spans="1:9" s="807" customFormat="1" ht="19.5" customHeight="1">
      <c r="A33" s="3564"/>
      <c r="B33" s="3560"/>
      <c r="C33" s="804" t="s">
        <v>2985</v>
      </c>
      <c r="D33" s="805"/>
      <c r="E33" s="3216">
        <v>0.8</v>
      </c>
      <c r="F33" s="3215" t="s">
        <v>2986</v>
      </c>
      <c r="G33" s="806"/>
      <c r="H33" s="800"/>
      <c r="I33" s="800"/>
    </row>
    <row r="34" spans="1:9" s="807" customFormat="1" ht="19.5" customHeight="1">
      <c r="A34" s="3564"/>
      <c r="B34" s="3560"/>
      <c r="C34" s="804" t="s">
        <v>2987</v>
      </c>
      <c r="D34" s="805"/>
      <c r="E34" s="3216">
        <v>0.6</v>
      </c>
      <c r="F34" s="3215" t="s">
        <v>2988</v>
      </c>
      <c r="G34" s="806"/>
      <c r="H34" s="800"/>
      <c r="I34" s="800"/>
    </row>
    <row r="35" spans="1:9" s="807" customFormat="1" ht="19.5" customHeight="1">
      <c r="A35" s="3564"/>
      <c r="B35" s="3560"/>
      <c r="C35" s="804" t="s">
        <v>2989</v>
      </c>
      <c r="D35" s="805"/>
      <c r="E35" s="3216">
        <v>0.2</v>
      </c>
      <c r="F35" s="3215" t="s">
        <v>2990</v>
      </c>
      <c r="G35" s="806"/>
      <c r="H35" s="800"/>
      <c r="I35" s="800"/>
    </row>
    <row r="36" spans="1:9" s="807" customFormat="1" ht="19.5" customHeight="1">
      <c r="A36" s="3564"/>
      <c r="B36" s="3560"/>
      <c r="C36" s="804" t="s">
        <v>2991</v>
      </c>
      <c r="D36" s="805"/>
      <c r="E36" s="3216">
        <v>0.2</v>
      </c>
      <c r="F36" s="3215" t="s">
        <v>2992</v>
      </c>
      <c r="G36" s="806"/>
      <c r="H36" s="800"/>
      <c r="I36" s="800"/>
    </row>
    <row r="37" spans="1:9" s="807" customFormat="1" ht="19.5" customHeight="1">
      <c r="A37" s="3564"/>
      <c r="B37" s="3558" t="s">
        <v>2993</v>
      </c>
      <c r="C37" s="804" t="s">
        <v>2994</v>
      </c>
      <c r="D37" s="805"/>
      <c r="E37" s="3216">
        <v>0.6</v>
      </c>
      <c r="F37" s="3215" t="s">
        <v>2995</v>
      </c>
      <c r="G37" s="806"/>
      <c r="H37" s="800"/>
      <c r="I37" s="800"/>
    </row>
    <row r="38" spans="1:9" s="807" customFormat="1" ht="19.5" customHeight="1">
      <c r="A38" s="3564"/>
      <c r="B38" s="3560"/>
      <c r="C38" s="804" t="s">
        <v>2996</v>
      </c>
      <c r="D38" s="805"/>
      <c r="E38" s="3216">
        <v>0.6</v>
      </c>
      <c r="F38" s="3215" t="s">
        <v>2997</v>
      </c>
      <c r="G38" s="806"/>
      <c r="H38" s="800"/>
      <c r="I38" s="800"/>
    </row>
    <row r="39" spans="1:9" s="807" customFormat="1" ht="19.5" customHeight="1" thickBot="1">
      <c r="A39" s="3565"/>
      <c r="B39" s="3562"/>
      <c r="C39" s="3217" t="s">
        <v>2998</v>
      </c>
      <c r="D39" s="3218"/>
      <c r="E39" s="3219">
        <v>0.6</v>
      </c>
      <c r="F39" s="3215" t="s">
        <v>2999</v>
      </c>
      <c r="G39" s="806"/>
      <c r="H39" s="800"/>
      <c r="I39" s="800"/>
    </row>
    <row r="40" spans="1:9" s="807" customFormat="1" ht="19.5" customHeight="1" thickBot="1">
      <c r="A40" s="3220" t="s">
        <v>3000</v>
      </c>
      <c r="B40" s="3221" t="s">
        <v>3000</v>
      </c>
      <c r="C40" s="3222" t="s">
        <v>3001</v>
      </c>
      <c r="D40" s="3223"/>
      <c r="E40" s="3224">
        <v>1</v>
      </c>
      <c r="F40" s="3215" t="s">
        <v>3002</v>
      </c>
      <c r="G40" s="806"/>
      <c r="H40" s="800"/>
      <c r="I40" s="800"/>
    </row>
    <row r="41" spans="1:9" s="807" customFormat="1" ht="19.5" customHeight="1">
      <c r="A41" s="3566" t="s">
        <v>3003</v>
      </c>
      <c r="B41" s="3561" t="s">
        <v>3004</v>
      </c>
      <c r="C41" s="3212" t="s">
        <v>3005</v>
      </c>
      <c r="D41" s="3213"/>
      <c r="E41" s="3214">
        <v>1</v>
      </c>
      <c r="F41" s="3215" t="s">
        <v>3006</v>
      </c>
      <c r="G41" s="806"/>
      <c r="H41" s="800"/>
      <c r="I41" s="800"/>
    </row>
    <row r="42" spans="1:9" s="807" customFormat="1" ht="19.5" customHeight="1">
      <c r="A42" s="3567"/>
      <c r="B42" s="3560"/>
      <c r="C42" s="804" t="s">
        <v>3007</v>
      </c>
      <c r="D42" s="805"/>
      <c r="E42" s="3216">
        <v>1</v>
      </c>
      <c r="F42" s="3215" t="s">
        <v>3008</v>
      </c>
      <c r="G42" s="806"/>
      <c r="H42" s="800"/>
      <c r="I42" s="800"/>
    </row>
    <row r="43" spans="1:9" s="807" customFormat="1" ht="19.5" customHeight="1">
      <c r="A43" s="3567"/>
      <c r="B43" s="3559"/>
      <c r="C43" s="804" t="s">
        <v>3009</v>
      </c>
      <c r="D43" s="805"/>
      <c r="E43" s="3216">
        <v>1.5</v>
      </c>
      <c r="F43" s="3215" t="s">
        <v>3010</v>
      </c>
      <c r="G43" s="806"/>
      <c r="H43" s="800"/>
      <c r="I43" s="800"/>
    </row>
    <row r="44" spans="1:9" s="807" customFormat="1" ht="19.5" customHeight="1">
      <c r="A44" s="3567"/>
      <c r="B44" s="3225" t="s">
        <v>2972</v>
      </c>
      <c r="C44" s="804" t="s">
        <v>3011</v>
      </c>
      <c r="D44" s="805"/>
      <c r="E44" s="3216">
        <v>2</v>
      </c>
      <c r="F44" s="3215" t="s">
        <v>3012</v>
      </c>
      <c r="G44" s="806"/>
      <c r="H44" s="800"/>
      <c r="I44" s="800"/>
    </row>
    <row r="45" spans="1:9" s="807" customFormat="1" ht="19.5" customHeight="1">
      <c r="A45" s="3567"/>
      <c r="B45" s="3558" t="s">
        <v>3013</v>
      </c>
      <c r="C45" s="804" t="s">
        <v>3014</v>
      </c>
      <c r="D45" s="805"/>
      <c r="E45" s="3216">
        <v>1</v>
      </c>
      <c r="F45" s="3215" t="s">
        <v>3015</v>
      </c>
      <c r="G45" s="806"/>
      <c r="H45" s="800"/>
      <c r="I45" s="800"/>
    </row>
    <row r="46" spans="1:9" s="807" customFormat="1" ht="19.5" customHeight="1">
      <c r="A46" s="3567"/>
      <c r="B46" s="3560"/>
      <c r="C46" s="804" t="s">
        <v>3016</v>
      </c>
      <c r="D46" s="805"/>
      <c r="E46" s="3216">
        <v>1</v>
      </c>
      <c r="F46" s="3215" t="s">
        <v>3017</v>
      </c>
      <c r="G46" s="806"/>
      <c r="H46" s="800"/>
      <c r="I46" s="800"/>
    </row>
    <row r="47" spans="1:9" s="807" customFormat="1" ht="19.5" customHeight="1">
      <c r="A47" s="3567"/>
      <c r="B47" s="3560"/>
      <c r="C47" s="804" t="s">
        <v>3018</v>
      </c>
      <c r="D47" s="805"/>
      <c r="E47" s="3216">
        <v>1</v>
      </c>
      <c r="F47" s="3215" t="s">
        <v>3019</v>
      </c>
      <c r="G47" s="806"/>
      <c r="H47" s="800"/>
      <c r="I47" s="800"/>
    </row>
    <row r="48" spans="1:9" s="807" customFormat="1" ht="19.5" customHeight="1">
      <c r="A48" s="3567"/>
      <c r="B48" s="3560"/>
      <c r="C48" s="804" t="s">
        <v>3020</v>
      </c>
      <c r="D48" s="805"/>
      <c r="E48" s="3216">
        <v>1</v>
      </c>
      <c r="F48" s="3215" t="s">
        <v>3021</v>
      </c>
      <c r="G48" s="806"/>
      <c r="H48" s="800"/>
      <c r="I48" s="800"/>
    </row>
    <row r="49" spans="1:9" s="807" customFormat="1" ht="19.5" customHeight="1">
      <c r="A49" s="3567"/>
      <c r="B49" s="3560"/>
      <c r="C49" s="804" t="s">
        <v>3022</v>
      </c>
      <c r="D49" s="805"/>
      <c r="E49" s="3216">
        <v>1</v>
      </c>
      <c r="F49" s="3215" t="s">
        <v>3023</v>
      </c>
      <c r="G49" s="806"/>
      <c r="H49" s="800"/>
      <c r="I49" s="800"/>
    </row>
    <row r="50" spans="1:9" s="807" customFormat="1" ht="19.5" customHeight="1">
      <c r="A50" s="3567"/>
      <c r="B50" s="3560"/>
      <c r="C50" s="804" t="s">
        <v>3024</v>
      </c>
      <c r="D50" s="805"/>
      <c r="E50" s="3216">
        <v>1</v>
      </c>
      <c r="F50" s="3215" t="s">
        <v>3025</v>
      </c>
      <c r="G50" s="806"/>
      <c r="H50" s="800"/>
      <c r="I50" s="800"/>
    </row>
    <row r="51" spans="1:9" s="807" customFormat="1" ht="19.5" customHeight="1" thickBot="1">
      <c r="A51" s="3568"/>
      <c r="B51" s="3562"/>
      <c r="C51" s="3217" t="s">
        <v>3026</v>
      </c>
      <c r="D51" s="3218"/>
      <c r="E51" s="3219">
        <v>1</v>
      </c>
      <c r="F51" s="3215" t="s">
        <v>3027</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3028</v>
      </c>
      <c r="D72" s="858"/>
      <c r="E72" s="815" t="s">
        <v>1</v>
      </c>
      <c r="F72" s="858" t="s">
        <v>1</v>
      </c>
    </row>
    <row r="73" spans="1:7" s="800" customFormat="1" ht="13.5">
      <c r="A73" s="3225">
        <v>1</v>
      </c>
      <c r="B73" s="3558" t="s">
        <v>3029</v>
      </c>
      <c r="C73" s="3205" t="s">
        <v>3030</v>
      </c>
      <c r="D73" s="3205" t="s">
        <v>3031</v>
      </c>
      <c r="E73" s="3226">
        <v>0.2</v>
      </c>
      <c r="F73" s="3225">
        <v>25</v>
      </c>
    </row>
    <row r="74" spans="1:7" s="800" customFormat="1" ht="24">
      <c r="A74" s="3225">
        <v>2</v>
      </c>
      <c r="B74" s="3560"/>
      <c r="C74" s="3205" t="s">
        <v>3032</v>
      </c>
      <c r="D74" s="3205" t="s">
        <v>3033</v>
      </c>
      <c r="E74" s="3226">
        <v>0.2</v>
      </c>
      <c r="F74" s="3225">
        <v>25</v>
      </c>
    </row>
    <row r="75" spans="1:7" s="800" customFormat="1" ht="24">
      <c r="A75" s="3225">
        <v>3</v>
      </c>
      <c r="B75" s="3560"/>
      <c r="C75" s="3205" t="s">
        <v>3034</v>
      </c>
      <c r="D75" s="3205" t="s">
        <v>3035</v>
      </c>
      <c r="E75" s="3226">
        <v>0.2</v>
      </c>
      <c r="F75" s="3225">
        <v>25</v>
      </c>
    </row>
    <row r="76" spans="1:7" s="800" customFormat="1" ht="13.5">
      <c r="A76" s="3225">
        <v>4</v>
      </c>
      <c r="B76" s="3560"/>
      <c r="C76" s="3205" t="s">
        <v>3036</v>
      </c>
      <c r="D76" s="3205" t="s">
        <v>3037</v>
      </c>
      <c r="E76" s="3226">
        <v>0.15</v>
      </c>
      <c r="F76" s="3225">
        <v>20</v>
      </c>
    </row>
    <row r="77" spans="1:7" s="800" customFormat="1" ht="24">
      <c r="A77" s="3225">
        <v>5</v>
      </c>
      <c r="B77" s="3560"/>
      <c r="C77" s="3205" t="s">
        <v>3038</v>
      </c>
      <c r="D77" s="3205" t="s">
        <v>3039</v>
      </c>
      <c r="E77" s="3226">
        <v>0.15</v>
      </c>
      <c r="F77" s="3225">
        <v>20</v>
      </c>
    </row>
    <row r="78" spans="1:7" s="800" customFormat="1" ht="24">
      <c r="A78" s="3225">
        <v>6</v>
      </c>
      <c r="B78" s="3560"/>
      <c r="C78" s="3205" t="s">
        <v>3040</v>
      </c>
      <c r="D78" s="3205" t="s">
        <v>3041</v>
      </c>
      <c r="E78" s="3226">
        <v>0.15</v>
      </c>
      <c r="F78" s="3225">
        <v>20</v>
      </c>
    </row>
    <row r="79" spans="1:7" s="800" customFormat="1" ht="24">
      <c r="A79" s="3225">
        <v>7</v>
      </c>
      <c r="B79" s="3560"/>
      <c r="C79" s="3205" t="s">
        <v>3042</v>
      </c>
      <c r="D79" s="3205" t="s">
        <v>3043</v>
      </c>
      <c r="E79" s="3226">
        <v>0.15</v>
      </c>
      <c r="F79" s="3225">
        <v>20</v>
      </c>
    </row>
    <row r="80" spans="1:7" s="800" customFormat="1" ht="24">
      <c r="A80" s="3225">
        <v>8</v>
      </c>
      <c r="B80" s="3560"/>
      <c r="C80" s="3205" t="s">
        <v>3044</v>
      </c>
      <c r="D80" s="3205" t="s">
        <v>3045</v>
      </c>
      <c r="E80" s="3226">
        <v>0.1</v>
      </c>
      <c r="F80" s="3225">
        <v>15</v>
      </c>
    </row>
    <row r="81" spans="1:6" s="800" customFormat="1" ht="24">
      <c r="A81" s="3225">
        <v>9</v>
      </c>
      <c r="B81" s="3560"/>
      <c r="C81" s="3205" t="s">
        <v>3046</v>
      </c>
      <c r="D81" s="3205" t="s">
        <v>3047</v>
      </c>
      <c r="E81" s="3226">
        <v>0.1</v>
      </c>
      <c r="F81" s="3225">
        <v>15</v>
      </c>
    </row>
    <row r="82" spans="1:6" s="800" customFormat="1" ht="24">
      <c r="A82" s="3225">
        <v>10</v>
      </c>
      <c r="B82" s="3560"/>
      <c r="C82" s="3205" t="s">
        <v>3048</v>
      </c>
      <c r="D82" s="3205" t="s">
        <v>3049</v>
      </c>
      <c r="E82" s="3226">
        <v>0.1</v>
      </c>
      <c r="F82" s="3225">
        <v>15</v>
      </c>
    </row>
    <row r="83" spans="1:6" s="800" customFormat="1" ht="24">
      <c r="A83" s="3225">
        <v>11</v>
      </c>
      <c r="B83" s="3560"/>
      <c r="C83" s="3205" t="s">
        <v>3050</v>
      </c>
      <c r="D83" s="3205" t="s">
        <v>3051</v>
      </c>
      <c r="E83" s="3226">
        <v>0.1</v>
      </c>
      <c r="F83" s="3225">
        <v>15</v>
      </c>
    </row>
    <row r="84" spans="1:6" s="800" customFormat="1" ht="24">
      <c r="A84" s="3225">
        <v>12</v>
      </c>
      <c r="B84" s="3560"/>
      <c r="C84" s="3205" t="s">
        <v>3052</v>
      </c>
      <c r="D84" s="3205" t="s">
        <v>3053</v>
      </c>
      <c r="E84" s="3226">
        <v>0.1</v>
      </c>
      <c r="F84" s="3225">
        <v>15</v>
      </c>
    </row>
    <row r="85" spans="1:6" s="800" customFormat="1" ht="13.5">
      <c r="A85" s="3225">
        <v>13</v>
      </c>
      <c r="B85" s="3560"/>
      <c r="C85" s="3205" t="s">
        <v>3054</v>
      </c>
      <c r="D85" s="3205" t="s">
        <v>3055</v>
      </c>
      <c r="E85" s="3226">
        <v>0.1</v>
      </c>
      <c r="F85" s="3225">
        <v>15</v>
      </c>
    </row>
    <row r="86" spans="1:6" s="800" customFormat="1" ht="13.5">
      <c r="A86" s="3225">
        <v>14</v>
      </c>
      <c r="B86" s="3560"/>
      <c r="C86" s="3205" t="s">
        <v>3056</v>
      </c>
      <c r="D86" s="3205" t="s">
        <v>3057</v>
      </c>
      <c r="E86" s="3226">
        <v>0.1</v>
      </c>
      <c r="F86" s="3225">
        <v>15</v>
      </c>
    </row>
    <row r="87" spans="1:6" s="800" customFormat="1" ht="13.5">
      <c r="A87" s="3225">
        <v>15</v>
      </c>
      <c r="B87" s="3560"/>
      <c r="C87" s="3205" t="s">
        <v>3058</v>
      </c>
      <c r="D87" s="3205" t="s">
        <v>3059</v>
      </c>
      <c r="E87" s="3226">
        <v>0.1</v>
      </c>
      <c r="F87" s="3225">
        <v>15</v>
      </c>
    </row>
    <row r="88" spans="1:6" s="800" customFormat="1" ht="24">
      <c r="A88" s="3225">
        <v>16</v>
      </c>
      <c r="B88" s="3560"/>
      <c r="C88" s="3205" t="s">
        <v>3060</v>
      </c>
      <c r="D88" s="3205" t="s">
        <v>3061</v>
      </c>
      <c r="E88" s="3226">
        <v>0.1</v>
      </c>
      <c r="F88" s="3225">
        <v>15</v>
      </c>
    </row>
    <row r="89" spans="1:6" s="800" customFormat="1" ht="24">
      <c r="A89" s="3225">
        <v>17</v>
      </c>
      <c r="B89" s="3559"/>
      <c r="C89" s="3205" t="s">
        <v>3062</v>
      </c>
      <c r="D89" s="3205" t="s">
        <v>3063</v>
      </c>
      <c r="E89" s="3226">
        <v>0.1</v>
      </c>
      <c r="F89" s="3225">
        <v>15</v>
      </c>
    </row>
    <row r="90" spans="1:6" s="800" customFormat="1" ht="13.5">
      <c r="A90" s="3225">
        <v>18</v>
      </c>
      <c r="B90" s="3558" t="s">
        <v>3064</v>
      </c>
      <c r="C90" s="3205" t="s">
        <v>3065</v>
      </c>
      <c r="D90" s="3205" t="s">
        <v>3066</v>
      </c>
      <c r="E90" s="3226">
        <v>0.2</v>
      </c>
      <c r="F90" s="3225">
        <v>25</v>
      </c>
    </row>
    <row r="91" spans="1:6" s="800" customFormat="1" ht="24">
      <c r="A91" s="3225">
        <v>19</v>
      </c>
      <c r="B91" s="3560"/>
      <c r="C91" s="3205" t="s">
        <v>3067</v>
      </c>
      <c r="D91" s="3205" t="s">
        <v>3068</v>
      </c>
      <c r="E91" s="3226">
        <v>0.2</v>
      </c>
      <c r="F91" s="3225">
        <v>25</v>
      </c>
    </row>
    <row r="92" spans="1:6" s="800" customFormat="1" ht="13.5">
      <c r="A92" s="3225">
        <v>20</v>
      </c>
      <c r="B92" s="3560"/>
      <c r="C92" s="3205" t="s">
        <v>3069</v>
      </c>
      <c r="D92" s="3205" t="s">
        <v>3070</v>
      </c>
      <c r="E92" s="3226">
        <v>0.15</v>
      </c>
      <c r="F92" s="3225">
        <v>20</v>
      </c>
    </row>
    <row r="93" spans="1:6" s="800" customFormat="1" ht="24">
      <c r="A93" s="3225">
        <v>21</v>
      </c>
      <c r="B93" s="3560"/>
      <c r="C93" s="3205" t="s">
        <v>3071</v>
      </c>
      <c r="D93" s="3205" t="s">
        <v>3072</v>
      </c>
      <c r="E93" s="3226">
        <v>0.15</v>
      </c>
      <c r="F93" s="3225">
        <v>20</v>
      </c>
    </row>
    <row r="94" spans="1:6" s="800" customFormat="1" ht="24">
      <c r="A94" s="3225">
        <v>22</v>
      </c>
      <c r="B94" s="3560"/>
      <c r="C94" s="3205" t="s">
        <v>3073</v>
      </c>
      <c r="D94" s="3205" t="s">
        <v>3074</v>
      </c>
      <c r="E94" s="3226">
        <v>0.15</v>
      </c>
      <c r="F94" s="3225">
        <v>20</v>
      </c>
    </row>
    <row r="95" spans="1:6" s="800" customFormat="1" ht="36">
      <c r="A95" s="3225">
        <v>23</v>
      </c>
      <c r="B95" s="3560"/>
      <c r="C95" s="3205" t="s">
        <v>3075</v>
      </c>
      <c r="D95" s="3205" t="s">
        <v>3076</v>
      </c>
      <c r="E95" s="3226">
        <v>0.15</v>
      </c>
      <c r="F95" s="3225">
        <v>20</v>
      </c>
    </row>
    <row r="96" spans="1:6" s="800" customFormat="1" ht="13.5">
      <c r="A96" s="3225">
        <v>24</v>
      </c>
      <c r="B96" s="3560"/>
      <c r="C96" s="3205" t="s">
        <v>3077</v>
      </c>
      <c r="D96" s="3205" t="s">
        <v>3078</v>
      </c>
      <c r="E96" s="3226">
        <v>0.1</v>
      </c>
      <c r="F96" s="3225">
        <v>15</v>
      </c>
    </row>
    <row r="97" spans="1:6" s="800" customFormat="1" ht="24">
      <c r="A97" s="3225">
        <v>25</v>
      </c>
      <c r="B97" s="3560"/>
      <c r="C97" s="3205" t="s">
        <v>3079</v>
      </c>
      <c r="D97" s="3205" t="s">
        <v>3080</v>
      </c>
      <c r="E97" s="3226">
        <v>0.1</v>
      </c>
      <c r="F97" s="3225">
        <v>15</v>
      </c>
    </row>
    <row r="98" spans="1:6" s="800" customFormat="1" ht="24">
      <c r="A98" s="3225">
        <v>26</v>
      </c>
      <c r="B98" s="3560"/>
      <c r="C98" s="3205" t="s">
        <v>3081</v>
      </c>
      <c r="D98" s="3205" t="s">
        <v>3082</v>
      </c>
      <c r="E98" s="3226">
        <v>0.1</v>
      </c>
      <c r="F98" s="3225">
        <v>15</v>
      </c>
    </row>
    <row r="99" spans="1:6" s="800" customFormat="1" ht="24">
      <c r="A99" s="3225">
        <v>27</v>
      </c>
      <c r="B99" s="3560"/>
      <c r="C99" s="3205" t="s">
        <v>3083</v>
      </c>
      <c r="D99" s="3205" t="s">
        <v>3084</v>
      </c>
      <c r="E99" s="3226">
        <v>0.1</v>
      </c>
      <c r="F99" s="3225">
        <v>15</v>
      </c>
    </row>
    <row r="100" spans="1:6" s="800" customFormat="1" ht="24">
      <c r="A100" s="3225">
        <v>28</v>
      </c>
      <c r="B100" s="3560"/>
      <c r="C100" s="3205" t="s">
        <v>3085</v>
      </c>
      <c r="D100" s="3205" t="s">
        <v>3086</v>
      </c>
      <c r="E100" s="3226">
        <v>0.1</v>
      </c>
      <c r="F100" s="3225">
        <v>15</v>
      </c>
    </row>
    <row r="101" spans="1:6" s="800" customFormat="1" ht="24">
      <c r="A101" s="3225">
        <v>29</v>
      </c>
      <c r="B101" s="3560"/>
      <c r="C101" s="3205" t="s">
        <v>3087</v>
      </c>
      <c r="D101" s="3205" t="s">
        <v>3088</v>
      </c>
      <c r="E101" s="3226">
        <v>0.1</v>
      </c>
      <c r="F101" s="3225">
        <v>15</v>
      </c>
    </row>
    <row r="102" spans="1:6" s="800" customFormat="1" ht="24">
      <c r="A102" s="3225">
        <v>30</v>
      </c>
      <c r="B102" s="3560"/>
      <c r="C102" s="3205" t="s">
        <v>3089</v>
      </c>
      <c r="D102" s="3205" t="s">
        <v>3090</v>
      </c>
      <c r="E102" s="3226">
        <v>0.1</v>
      </c>
      <c r="F102" s="3225">
        <v>15</v>
      </c>
    </row>
    <row r="103" spans="1:6" s="800" customFormat="1" ht="24">
      <c r="A103" s="3225">
        <v>31</v>
      </c>
      <c r="B103" s="3560"/>
      <c r="C103" s="3205" t="s">
        <v>3091</v>
      </c>
      <c r="D103" s="3205" t="s">
        <v>3092</v>
      </c>
      <c r="E103" s="3226">
        <v>0.1</v>
      </c>
      <c r="F103" s="3225">
        <v>15</v>
      </c>
    </row>
    <row r="104" spans="1:6" s="800" customFormat="1" ht="24">
      <c r="A104" s="3225">
        <v>32</v>
      </c>
      <c r="B104" s="3560"/>
      <c r="C104" s="3205" t="s">
        <v>3093</v>
      </c>
      <c r="D104" s="3205" t="s">
        <v>3094</v>
      </c>
      <c r="E104" s="3226">
        <v>0.1</v>
      </c>
      <c r="F104" s="3225">
        <v>15</v>
      </c>
    </row>
    <row r="105" spans="1:6" s="800" customFormat="1" ht="24">
      <c r="A105" s="3225">
        <v>33</v>
      </c>
      <c r="B105" s="3560"/>
      <c r="C105" s="3205" t="s">
        <v>3095</v>
      </c>
      <c r="D105" s="3205" t="s">
        <v>3096</v>
      </c>
      <c r="E105" s="3226">
        <v>0.1</v>
      </c>
      <c r="F105" s="3225">
        <v>15</v>
      </c>
    </row>
    <row r="106" spans="1:6" s="800" customFormat="1" ht="24">
      <c r="A106" s="3225">
        <v>34</v>
      </c>
      <c r="B106" s="3559"/>
      <c r="C106" s="3205" t="s">
        <v>3097</v>
      </c>
      <c r="D106" s="3205" t="s">
        <v>3098</v>
      </c>
      <c r="E106" s="3226">
        <v>0.1</v>
      </c>
      <c r="F106" s="3225">
        <v>15</v>
      </c>
    </row>
    <row r="107" spans="1:6" s="800" customFormat="1" ht="24">
      <c r="A107" s="3225">
        <v>35</v>
      </c>
      <c r="B107" s="3558" t="s">
        <v>3099</v>
      </c>
      <c r="C107" s="3225" t="s">
        <v>3100</v>
      </c>
      <c r="D107" s="3205" t="s">
        <v>3101</v>
      </c>
      <c r="E107" s="3226">
        <v>0.15</v>
      </c>
      <c r="F107" s="3225">
        <v>20</v>
      </c>
    </row>
    <row r="108" spans="1:6" s="800" customFormat="1" ht="24">
      <c r="A108" s="3225">
        <v>36</v>
      </c>
      <c r="B108" s="3560"/>
      <c r="C108" s="3225" t="s">
        <v>3102</v>
      </c>
      <c r="D108" s="3205" t="s">
        <v>3103</v>
      </c>
      <c r="E108" s="3226">
        <v>0.15</v>
      </c>
      <c r="F108" s="3225">
        <v>20</v>
      </c>
    </row>
    <row r="109" spans="1:6" s="800" customFormat="1" ht="24">
      <c r="A109" s="3225">
        <v>37</v>
      </c>
      <c r="B109" s="3560"/>
      <c r="C109" s="3225" t="s">
        <v>3104</v>
      </c>
      <c r="D109" s="3205" t="s">
        <v>3105</v>
      </c>
      <c r="E109" s="3226">
        <v>0.15</v>
      </c>
      <c r="F109" s="3225">
        <v>20</v>
      </c>
    </row>
    <row r="110" spans="1:6" s="800" customFormat="1" ht="13.5">
      <c r="A110" s="3225">
        <v>38</v>
      </c>
      <c r="B110" s="3560"/>
      <c r="C110" s="3225" t="s">
        <v>3106</v>
      </c>
      <c r="D110" s="3205" t="s">
        <v>3107</v>
      </c>
      <c r="E110" s="3226">
        <v>0.1</v>
      </c>
      <c r="F110" s="3225">
        <v>15</v>
      </c>
    </row>
    <row r="111" spans="1:6" s="800" customFormat="1" ht="24">
      <c r="A111" s="3225">
        <v>39</v>
      </c>
      <c r="B111" s="3560"/>
      <c r="C111" s="3225" t="s">
        <v>3108</v>
      </c>
      <c r="D111" s="3205" t="s">
        <v>3109</v>
      </c>
      <c r="E111" s="3226">
        <v>0.1</v>
      </c>
      <c r="F111" s="3225">
        <v>15</v>
      </c>
    </row>
    <row r="112" spans="1:6" s="800" customFormat="1" ht="24">
      <c r="A112" s="3225">
        <v>40</v>
      </c>
      <c r="B112" s="3559"/>
      <c r="C112" s="3225" t="s">
        <v>3110</v>
      </c>
      <c r="D112" s="3205" t="s">
        <v>3111</v>
      </c>
      <c r="E112" s="3226">
        <v>0.1</v>
      </c>
      <c r="F112" s="3225">
        <v>15</v>
      </c>
    </row>
    <row r="113" spans="1:6" s="800" customFormat="1" ht="24">
      <c r="A113" s="3225">
        <v>41</v>
      </c>
      <c r="B113" s="3557" t="s">
        <v>3112</v>
      </c>
      <c r="C113" s="3225" t="s">
        <v>3113</v>
      </c>
      <c r="D113" s="3205" t="s">
        <v>3114</v>
      </c>
      <c r="E113" s="3226">
        <v>0.1</v>
      </c>
      <c r="F113" s="3225">
        <v>15</v>
      </c>
    </row>
    <row r="114" spans="1:6" s="800" customFormat="1" ht="13.5">
      <c r="A114" s="3225">
        <v>42</v>
      </c>
      <c r="B114" s="3557"/>
      <c r="C114" s="3225" t="s">
        <v>3115</v>
      </c>
      <c r="D114" s="3205" t="s">
        <v>3116</v>
      </c>
      <c r="E114" s="3226">
        <v>0.1</v>
      </c>
      <c r="F114" s="3225">
        <v>15</v>
      </c>
    </row>
    <row r="115" spans="1:6" s="800" customFormat="1" ht="24">
      <c r="A115" s="3225">
        <v>43</v>
      </c>
      <c r="B115" s="3557"/>
      <c r="C115" s="3225" t="s">
        <v>3117</v>
      </c>
      <c r="D115" s="3205" t="s">
        <v>3118</v>
      </c>
      <c r="E115" s="3226">
        <v>0.1</v>
      </c>
      <c r="F115" s="3225">
        <v>15</v>
      </c>
    </row>
    <row r="116" spans="1:6" s="800" customFormat="1" ht="24">
      <c r="A116" s="3225">
        <v>44</v>
      </c>
      <c r="B116" s="3558" t="s">
        <v>3119</v>
      </c>
      <c r="C116" s="3225" t="s">
        <v>3120</v>
      </c>
      <c r="D116" s="3205" t="s">
        <v>3121</v>
      </c>
      <c r="E116" s="3226">
        <v>0.1</v>
      </c>
      <c r="F116" s="3225">
        <v>15</v>
      </c>
    </row>
    <row r="117" spans="1:6" s="800" customFormat="1" ht="24">
      <c r="A117" s="3225">
        <v>45</v>
      </c>
      <c r="B117" s="3559"/>
      <c r="C117" s="3205" t="s">
        <v>3122</v>
      </c>
      <c r="D117" s="3205" t="s">
        <v>3123</v>
      </c>
      <c r="E117" s="3226">
        <v>0.1</v>
      </c>
      <c r="F117" s="3225">
        <v>15</v>
      </c>
    </row>
    <row r="118" spans="1:6" s="800" customFormat="1" ht="24">
      <c r="A118" s="3225">
        <v>46</v>
      </c>
      <c r="B118" s="3558" t="s">
        <v>3124</v>
      </c>
      <c r="C118" s="3225" t="s">
        <v>3125</v>
      </c>
      <c r="D118" s="3205" t="s">
        <v>3126</v>
      </c>
      <c r="E118" s="3226">
        <v>0.1</v>
      </c>
      <c r="F118" s="3225">
        <v>15</v>
      </c>
    </row>
    <row r="119" spans="1:6" s="800" customFormat="1" ht="24">
      <c r="A119" s="3225">
        <v>47</v>
      </c>
      <c r="B119" s="3559"/>
      <c r="C119" s="3225" t="s">
        <v>3127</v>
      </c>
      <c r="D119" s="3205" t="s">
        <v>3128</v>
      </c>
      <c r="E119" s="3226">
        <v>0.1</v>
      </c>
      <c r="F119" s="3225">
        <v>15</v>
      </c>
    </row>
    <row r="120" spans="1:6" s="800" customFormat="1" ht="24">
      <c r="A120" s="3225">
        <v>48</v>
      </c>
      <c r="B120" s="3558" t="s">
        <v>3129</v>
      </c>
      <c r="C120" s="3225" t="s">
        <v>3130</v>
      </c>
      <c r="D120" s="3205" t="s">
        <v>3131</v>
      </c>
      <c r="E120" s="3226">
        <v>0.1</v>
      </c>
      <c r="F120" s="3225">
        <v>15</v>
      </c>
    </row>
    <row r="121" spans="1:6" s="800" customFormat="1" ht="13.5">
      <c r="A121" s="3225">
        <v>49</v>
      </c>
      <c r="B121" s="3559"/>
      <c r="C121" s="3225" t="s">
        <v>3132</v>
      </c>
      <c r="D121" s="3205" t="s">
        <v>3133</v>
      </c>
      <c r="E121" s="3226">
        <v>0.1</v>
      </c>
      <c r="F121" s="3225">
        <v>15</v>
      </c>
    </row>
    <row r="122" spans="1:6" s="800" customFormat="1" ht="24">
      <c r="A122" s="3225">
        <v>50</v>
      </c>
      <c r="B122" s="3557" t="s">
        <v>3134</v>
      </c>
      <c r="C122" s="3225" t="s">
        <v>3135</v>
      </c>
      <c r="D122" s="3205" t="s">
        <v>3136</v>
      </c>
      <c r="E122" s="3226">
        <v>0.1</v>
      </c>
      <c r="F122" s="3225">
        <v>15</v>
      </c>
    </row>
    <row r="123" spans="1:6" s="800" customFormat="1" ht="24">
      <c r="A123" s="3225">
        <v>51</v>
      </c>
      <c r="B123" s="3557"/>
      <c r="C123" s="3225" t="s">
        <v>3137</v>
      </c>
      <c r="D123" s="3205" t="s">
        <v>3138</v>
      </c>
      <c r="E123" s="3226">
        <v>0.1</v>
      </c>
      <c r="F123" s="3225">
        <v>15</v>
      </c>
    </row>
    <row r="124" spans="1:6" s="800" customFormat="1" ht="24">
      <c r="A124" s="3225">
        <v>52</v>
      </c>
      <c r="B124" s="3557" t="s">
        <v>3139</v>
      </c>
      <c r="C124" s="3225" t="s">
        <v>3140</v>
      </c>
      <c r="D124" s="3205" t="s">
        <v>3141</v>
      </c>
      <c r="E124" s="3226">
        <v>0.1</v>
      </c>
      <c r="F124" s="3225">
        <v>15</v>
      </c>
    </row>
    <row r="125" spans="1:6" s="800" customFormat="1" ht="24">
      <c r="A125" s="3225">
        <v>53</v>
      </c>
      <c r="B125" s="3557"/>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57" t="s">
        <v>3147</v>
      </c>
      <c r="C127" s="3225" t="s">
        <v>3148</v>
      </c>
      <c r="D127" s="3205" t="s">
        <v>3149</v>
      </c>
      <c r="E127" s="3226">
        <v>0.1</v>
      </c>
      <c r="F127" s="3225">
        <v>15</v>
      </c>
    </row>
    <row r="128" spans="1:6" ht="13.5">
      <c r="A128" s="3225">
        <v>56</v>
      </c>
      <c r="B128" s="3557"/>
      <c r="C128" s="3225" t="s">
        <v>3150</v>
      </c>
      <c r="D128" s="3205" t="s">
        <v>3151</v>
      </c>
      <c r="E128" s="3226">
        <v>0.1</v>
      </c>
      <c r="F128" s="3225">
        <v>15</v>
      </c>
    </row>
    <row r="129" spans="1:6" ht="24">
      <c r="A129" s="3225">
        <v>57</v>
      </c>
      <c r="B129" s="3557"/>
      <c r="C129" s="3225" t="s">
        <v>3152</v>
      </c>
      <c r="D129" s="3205" t="s">
        <v>3153</v>
      </c>
      <c r="E129" s="3226">
        <v>0.1</v>
      </c>
      <c r="F129" s="3225">
        <v>15</v>
      </c>
    </row>
    <row r="130" spans="1:6" ht="24">
      <c r="A130" s="3225">
        <v>58</v>
      </c>
      <c r="B130" s="3557" t="s">
        <v>3154</v>
      </c>
      <c r="C130" s="3225" t="s">
        <v>3155</v>
      </c>
      <c r="D130" s="3205" t="s">
        <v>3156</v>
      </c>
      <c r="E130" s="3226">
        <v>0.1</v>
      </c>
      <c r="F130" s="3225">
        <v>15</v>
      </c>
    </row>
    <row r="131" spans="1:6" ht="24">
      <c r="A131" s="3225">
        <v>59</v>
      </c>
      <c r="B131" s="3557"/>
      <c r="C131" s="3225" t="s">
        <v>3157</v>
      </c>
      <c r="D131" s="3205" t="s">
        <v>3158</v>
      </c>
      <c r="E131" s="3226">
        <v>0.1</v>
      </c>
      <c r="F131" s="3225">
        <v>15</v>
      </c>
    </row>
    <row r="132" spans="1:6" ht="24">
      <c r="A132" s="3225">
        <v>60</v>
      </c>
      <c r="B132" s="3558" t="s">
        <v>3159</v>
      </c>
      <c r="C132" s="3225" t="s">
        <v>3160</v>
      </c>
      <c r="D132" s="3205" t="s">
        <v>3161</v>
      </c>
      <c r="E132" s="3226">
        <v>0.1</v>
      </c>
      <c r="F132" s="3225">
        <v>15</v>
      </c>
    </row>
    <row r="133" spans="1:6" ht="24">
      <c r="A133" s="3225">
        <v>61</v>
      </c>
      <c r="B133" s="3559"/>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57" t="s">
        <v>3167</v>
      </c>
      <c r="C135" s="3225" t="s">
        <v>3168</v>
      </c>
      <c r="D135" s="3205" t="s">
        <v>3169</v>
      </c>
      <c r="E135" s="3226">
        <v>0.1</v>
      </c>
      <c r="F135" s="3225">
        <v>15</v>
      </c>
    </row>
    <row r="136" spans="1:6" ht="13.5">
      <c r="A136" s="3225">
        <v>64</v>
      </c>
      <c r="B136" s="3557"/>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4" t="s">
        <v>877</v>
      </c>
      <c r="C1" s="3574"/>
      <c r="D1" s="3574"/>
      <c r="E1" s="3574"/>
      <c r="F1" s="3574"/>
      <c r="G1" s="3573" t="s">
        <v>878</v>
      </c>
      <c r="H1" s="3573"/>
      <c r="I1" s="3573"/>
      <c r="J1" s="3573"/>
      <c r="K1" s="3573"/>
      <c r="L1" s="3573"/>
      <c r="N1" s="3573" t="s">
        <v>879</v>
      </c>
      <c r="O1" s="3573"/>
      <c r="P1" s="3573"/>
      <c r="Q1" s="3573"/>
      <c r="S1" s="3573" t="s">
        <v>880</v>
      </c>
      <c r="T1" s="3573"/>
      <c r="U1" s="3573"/>
      <c r="V1" s="3573"/>
      <c r="X1" s="3572" t="s">
        <v>881</v>
      </c>
      <c r="Y1" s="3573"/>
      <c r="Z1" s="3573"/>
      <c r="AA1" s="3573"/>
      <c r="AB1" s="3573"/>
      <c r="AD1" s="3572" t="s">
        <v>882</v>
      </c>
      <c r="AE1" s="3573"/>
      <c r="AF1" s="3573"/>
      <c r="AG1" s="3573"/>
      <c r="AH1" s="357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0">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0"/>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0"/>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57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0"/>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0"/>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0"/>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0"/>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1"/>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69">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0"/>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0"/>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1"/>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69">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0"/>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0"/>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1"/>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69">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0"/>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0"/>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1"/>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69">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0">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0">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1">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69">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0">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0">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1">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69">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0">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0">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1">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69">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0">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0">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1">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69">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0">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0">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1">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69">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0">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0">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1">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69">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0">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0">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1">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69">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0">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0">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1">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69">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0">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0">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1">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69">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0">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0">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1">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583" t="s">
        <v>2584</v>
      </c>
      <c r="D1" s="3584"/>
      <c r="E1" s="3584"/>
      <c r="F1" s="3584"/>
      <c r="G1" s="3584"/>
      <c r="H1" s="3584"/>
      <c r="I1" s="3584"/>
      <c r="J1" s="3584"/>
      <c r="K1" s="3584"/>
      <c r="L1" s="3584"/>
      <c r="M1" s="3584"/>
      <c r="N1" s="3584"/>
      <c r="O1" s="3584"/>
      <c r="P1" s="3584"/>
      <c r="Q1" s="3584"/>
      <c r="R1" s="3584"/>
      <c r="S1" s="3585"/>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4">
        <f>SUM(B24:B10000)</f>
        <v>100</v>
      </c>
      <c r="C22" s="3580" t="s">
        <v>33</v>
      </c>
      <c r="D22" s="3581"/>
      <c r="E22" s="3581"/>
      <c r="F22" s="3581"/>
      <c r="G22" s="3581"/>
      <c r="H22" s="3581"/>
      <c r="I22" s="3581"/>
      <c r="J22" s="3581"/>
      <c r="K22" s="3581"/>
      <c r="L22" s="3581"/>
      <c r="M22" s="3581"/>
      <c r="N22" s="3581"/>
      <c r="O22" s="3581"/>
      <c r="P22" s="3581"/>
      <c r="Q22" s="3582"/>
      <c r="R22" s="671">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8">
      <c r="A3" s="3249" t="str">
        <f>IF(项目基本情况!B9="房地产市场价值","估价结果一览表（市场价值不需“结果表-1”）","估价结果一览表")</f>
        <v>估价结果一览表</v>
      </c>
      <c r="B3" s="3249"/>
      <c r="C3" s="3249"/>
      <c r="D3" s="3249"/>
      <c r="E3" s="3249"/>
    </row>
    <row r="4" spans="1:5" ht="19.5" thickBot="1">
      <c r="A4" s="1628"/>
      <c r="B4" s="3247" t="s">
        <v>1354</v>
      </c>
      <c r="C4" s="3247"/>
      <c r="D4" s="3247"/>
      <c r="E4" s="1628"/>
    </row>
    <row r="5" spans="1:5" ht="16.5" thickTop="1">
      <c r="A5" s="1626"/>
      <c r="B5" s="3245" t="s">
        <v>1346</v>
      </c>
      <c r="C5" s="1629" t="s">
        <v>1347</v>
      </c>
      <c r="D5" s="939">
        <f ca="1">结果表!H101</f>
        <v>325592</v>
      </c>
      <c r="E5" s="1626"/>
    </row>
    <row r="6" spans="1:5" ht="15.75">
      <c r="A6" s="1626"/>
      <c r="B6" s="3245"/>
      <c r="C6" s="1629" t="s">
        <v>1348</v>
      </c>
      <c r="D6" s="939" t="str">
        <f ca="1">NUMBERSTRING(INT(D5*10000),2)&amp;"元整"</f>
        <v>叁拾贰亿伍仟伍佰玖拾贰万元整</v>
      </c>
      <c r="E6" s="1626"/>
    </row>
    <row r="7" spans="1:5" ht="15.75">
      <c r="A7" s="1626"/>
      <c r="B7" s="3250"/>
      <c r="C7" s="1630" t="s">
        <v>1349</v>
      </c>
      <c r="D7" s="940">
        <f ca="1">结果表!H102</f>
        <v>15434</v>
      </c>
      <c r="E7" s="1626"/>
    </row>
    <row r="8" spans="1:5" ht="15.75">
      <c r="A8" s="1626"/>
      <c r="B8" s="3251" t="str">
        <f>结果表!E103</f>
        <v>2.估价师知悉的法定优先受偿款</v>
      </c>
      <c r="C8" s="1631" t="s">
        <v>1350</v>
      </c>
      <c r="D8" s="940">
        <f>结果表!H103</f>
        <v>0</v>
      </c>
      <c r="E8" s="1626"/>
    </row>
    <row r="9" spans="1:5" ht="15.75">
      <c r="A9" s="1626"/>
      <c r="B9" s="3253"/>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4" t="str">
        <f>结果表!E107</f>
        <v>3.房地产抵押价值</v>
      </c>
      <c r="C13" s="1634" t="s">
        <v>1347</v>
      </c>
      <c r="D13" s="942">
        <f ca="1">结果表!H107</f>
        <v>325592</v>
      </c>
      <c r="E13" s="1626"/>
    </row>
    <row r="14" spans="1:5" ht="15.75">
      <c r="A14" s="1626"/>
      <c r="B14" s="3245"/>
      <c r="C14" s="1629" t="s">
        <v>1348</v>
      </c>
      <c r="D14" s="939" t="str">
        <f ca="1">NUMBERSTRING(INT(D13*10000),2)&amp;"元整"</f>
        <v>叁拾贰亿伍仟伍佰玖拾贰万元整</v>
      </c>
      <c r="E14" s="1626"/>
    </row>
    <row r="15" spans="1:5" ht="15">
      <c r="A15" s="1626"/>
      <c r="B15" s="3250"/>
      <c r="C15" s="1630" t="s">
        <v>1358</v>
      </c>
      <c r="D15" s="948">
        <f ca="1">结果表!H108</f>
        <v>15434</v>
      </c>
      <c r="E15" s="1626"/>
    </row>
    <row r="16" spans="1:5" ht="15">
      <c r="A16" s="1626"/>
      <c r="B16" s="3251" t="str">
        <f>结果表!E109</f>
        <v>——</v>
      </c>
      <c r="C16" s="1634" t="s">
        <v>1359</v>
      </c>
      <c r="D16" s="1635" t="str">
        <f>结果表!H109</f>
        <v>——</v>
      </c>
      <c r="E16" s="1626"/>
    </row>
    <row r="17" spans="1:5" ht="15.75">
      <c r="A17" s="1626"/>
      <c r="B17" s="3252"/>
      <c r="C17" s="1629" t="s">
        <v>1360</v>
      </c>
      <c r="D17" s="939" t="e">
        <f>NUMBERSTRING(INT(D16*10000),2)&amp;"元整"</f>
        <v>#VALUE!</v>
      </c>
      <c r="E17" s="1626"/>
    </row>
    <row r="18" spans="1:5" ht="15">
      <c r="A18" s="1626"/>
      <c r="B18" s="3253"/>
      <c r="C18" s="1630" t="s">
        <v>1349</v>
      </c>
      <c r="D18" s="948" t="str">
        <f>结果表!H110</f>
        <v>——</v>
      </c>
      <c r="E18" s="1626"/>
    </row>
    <row r="19" spans="1:5" ht="15.75">
      <c r="A19" s="1626"/>
      <c r="B19" s="3244" t="str">
        <f>结果表!E111</f>
        <v>4.抵押净值</v>
      </c>
      <c r="C19" s="1634" t="s">
        <v>1347</v>
      </c>
      <c r="D19" s="940">
        <f ca="1">结果表!H111</f>
        <v>302147</v>
      </c>
      <c r="E19" s="1626"/>
    </row>
    <row r="20" spans="1:5" ht="15.75">
      <c r="A20" s="1626"/>
      <c r="B20" s="3245"/>
      <c r="C20" s="1629" t="s">
        <v>1360</v>
      </c>
      <c r="D20" s="939" t="str">
        <f ca="1">NUMBERSTRING(INT(D19*10000),2)&amp;"元整"</f>
        <v>叁拾亿贰仟壹佰肆拾柒万元整</v>
      </c>
      <c r="E20" s="1626"/>
    </row>
    <row r="21" spans="1:5" ht="15.75" thickBot="1">
      <c r="A21" s="1626"/>
      <c r="B21" s="3246"/>
      <c r="C21" s="1636" t="s">
        <v>1358</v>
      </c>
      <c r="D21" s="949">
        <f ca="1">结果表!H112</f>
        <v>14323</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188275</v>
      </c>
      <c r="C2" s="2" t="s">
        <v>133</v>
      </c>
      <c r="D2" s="204"/>
      <c r="E2" s="204"/>
      <c r="F2" s="204"/>
      <c r="G2" s="204"/>
    </row>
    <row r="3" spans="1:7" s="205" customFormat="1" ht="18" customHeight="1" thickBot="1">
      <c r="A3" s="208" t="s">
        <v>85</v>
      </c>
      <c r="B3" s="209">
        <f ca="1">ROUND(B2*10000/'数据-汇总表'!E3,0)</f>
        <v>8925</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150</v>
      </c>
      <c r="F9" s="226"/>
      <c r="G9" s="231"/>
    </row>
    <row r="10" spans="1:7" s="219" customFormat="1" ht="13.5" customHeight="1">
      <c r="A10" s="867" t="s">
        <v>620</v>
      </c>
      <c r="B10" s="229" t="s">
        <v>94</v>
      </c>
      <c r="C10" s="230">
        <f>ROUND(D10*E10/10000,0)</f>
        <v>4008</v>
      </c>
      <c r="D10" s="934">
        <f>'数据-汇总表'!E6</f>
        <v>210956.06</v>
      </c>
      <c r="E10" s="230">
        <f>'数据-取费表'!B28</f>
        <v>190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4219</v>
      </c>
      <c r="D19" s="938">
        <f>'数据-汇总表'!E3</f>
        <v>210956.06</v>
      </c>
      <c r="E19" s="216">
        <f>'数据-取费表'!B31</f>
        <v>200</v>
      </c>
      <c r="F19" s="236"/>
      <c r="G19" s="1" t="s">
        <v>861</v>
      </c>
    </row>
    <row r="20" spans="1:7" s="219" customFormat="1" ht="13.5" customHeight="1">
      <c r="A20" s="865" t="s">
        <v>844</v>
      </c>
      <c r="B20" s="215" t="s">
        <v>104</v>
      </c>
      <c r="C20" s="237">
        <f>ROUND((C5+C19)*F20,0)</f>
        <v>745</v>
      </c>
      <c r="D20" s="237"/>
      <c r="E20" s="237"/>
      <c r="F20" s="238">
        <f>'数据-取费表'!B37</f>
        <v>0.03</v>
      </c>
      <c r="G20" s="1179" t="s">
        <v>855</v>
      </c>
    </row>
    <row r="21" spans="1:7" s="219" customFormat="1" ht="13.5" customHeight="1">
      <c r="A21" s="865" t="s">
        <v>846</v>
      </c>
      <c r="B21" s="215" t="s">
        <v>105</v>
      </c>
      <c r="C21" s="240">
        <f>F21</f>
        <v>0.03</v>
      </c>
      <c r="D21" s="241" t="s">
        <v>126</v>
      </c>
      <c r="E21" s="237"/>
      <c r="F21" s="238">
        <f>'数据-取费表'!B38</f>
        <v>0.03</v>
      </c>
      <c r="G21" s="239" t="s">
        <v>106</v>
      </c>
    </row>
    <row r="22" spans="1:7" s="219" customFormat="1" ht="13.5" customHeight="1">
      <c r="A22" s="865" t="s">
        <v>605</v>
      </c>
      <c r="B22" s="215" t="s">
        <v>107</v>
      </c>
      <c r="C22" s="1216">
        <f ca="1">ROUND(SUM(C23:C25),0)</f>
        <v>3268</v>
      </c>
      <c r="D22" s="240">
        <f ca="1">C26</f>
        <v>1.9E-3</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2674</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547</v>
      </c>
      <c r="D24" s="243"/>
      <c r="E24" s="243"/>
      <c r="F24" s="244"/>
      <c r="G24" s="245" t="s">
        <v>109</v>
      </c>
    </row>
    <row r="25" spans="1:7" s="219" customFormat="1" ht="24">
      <c r="A25" s="868" t="s">
        <v>612</v>
      </c>
      <c r="B25" s="220" t="s">
        <v>845</v>
      </c>
      <c r="C25" s="1217">
        <f ca="1">ROUND(IF('数据-取费表'!B22&lt;=1,C20*F22*'数据-取费表'!B23/2,C20*(POWER((1+F22),'数据-取费表'!B23/2)-1)),0)</f>
        <v>47</v>
      </c>
      <c r="D25" s="243"/>
      <c r="E25" s="246"/>
      <c r="F25" s="244"/>
      <c r="G25" s="247" t="s">
        <v>110</v>
      </c>
    </row>
    <row r="26" spans="1:7" s="219" customFormat="1">
      <c r="A26" s="868" t="s">
        <v>614</v>
      </c>
      <c r="B26" s="220" t="s">
        <v>847</v>
      </c>
      <c r="C26" s="243">
        <f ca="1">ROUND(IF('数据-取费表'!B22&lt;=1,F21*F22*'数据-取费表'!B23/2,F21*(POWER((1+F22),'数据-取费表'!B23/2)-1)),4)</f>
        <v>1.9E-3</v>
      </c>
      <c r="D26" s="243"/>
      <c r="E26" s="246"/>
      <c r="F26" s="244"/>
      <c r="G26" s="248"/>
    </row>
    <row r="27" spans="1:7" s="219" customFormat="1" ht="24.75">
      <c r="A27" s="865" t="s">
        <v>606</v>
      </c>
      <c r="B27" s="249" t="s">
        <v>112</v>
      </c>
      <c r="C27" s="250">
        <f>C28</f>
        <v>6394</v>
      </c>
      <c r="D27" s="240">
        <f>C29</f>
        <v>7.4999999999999997E-3</v>
      </c>
      <c r="E27" s="241" t="s">
        <v>126</v>
      </c>
      <c r="F27" s="251">
        <f>'数据-取费表'!Q16</f>
        <v>0.25</v>
      </c>
      <c r="G27" s="252" t="s">
        <v>856</v>
      </c>
    </row>
    <row r="28" spans="1:7" s="219" customFormat="1" ht="13.5" customHeight="1">
      <c r="A28" s="868" t="s">
        <v>613</v>
      </c>
      <c r="B28" s="253" t="s">
        <v>849</v>
      </c>
      <c r="C28" s="254">
        <f>ROUND((C5+C19+C20)*F27*'数据-取费表'!B21/'数据-取费表'!B20,0)</f>
        <v>6394</v>
      </c>
      <c r="D28" s="240"/>
      <c r="E28" s="241"/>
      <c r="F28" s="251"/>
      <c r="G28" s="252"/>
    </row>
    <row r="29" spans="1:7" s="219" customFormat="1" ht="13.5" customHeight="1">
      <c r="A29" s="868" t="s">
        <v>611</v>
      </c>
      <c r="B29" s="253" t="s">
        <v>850</v>
      </c>
      <c r="C29" s="243">
        <f>ROUND(C21*F27*'数据-取费表'!B21/'数据-取费表'!B20,4)</f>
        <v>7.4999999999999997E-3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38797</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112801</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101955</v>
      </c>
      <c r="D34" s="222"/>
      <c r="E34" s="225"/>
      <c r="F34" s="262">
        <f>IF('数据-取费表'!B24=0,1,'数据-取费表'!N16)</f>
        <v>1</v>
      </c>
      <c r="G34" s="224" t="s">
        <v>116</v>
      </c>
    </row>
    <row r="35" spans="1:7" ht="13.5" customHeight="1">
      <c r="A35" s="868" t="s">
        <v>615</v>
      </c>
      <c r="B35" s="220" t="s">
        <v>60</v>
      </c>
      <c r="C35" s="225">
        <f>ROUND(C34*F35,0)</f>
        <v>5098</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4219</v>
      </c>
      <c r="D37" s="222">
        <f>'数据-汇总表'!E3</f>
        <v>210956.06</v>
      </c>
      <c r="E37" s="254">
        <f>'数据-取费表'!B35</f>
        <v>200</v>
      </c>
      <c r="F37" s="264"/>
      <c r="G37" s="266" t="s">
        <v>119</v>
      </c>
    </row>
    <row r="38" spans="1:7" ht="13.5" customHeight="1">
      <c r="A38" s="868" t="s">
        <v>618</v>
      </c>
      <c r="B38" s="220" t="s">
        <v>63</v>
      </c>
      <c r="C38" s="225">
        <f>ROUND(C34*F38,0)</f>
        <v>1529</v>
      </c>
      <c r="D38" s="225"/>
      <c r="E38" s="225"/>
      <c r="F38" s="264">
        <f>'数据-取费表'!B36</f>
        <v>1.4999999999999999E-2</v>
      </c>
      <c r="G38" s="224" t="s">
        <v>117</v>
      </c>
    </row>
    <row r="39" spans="1:7" s="219" customFormat="1" ht="13.5" customHeight="1">
      <c r="A39" s="865" t="s">
        <v>602</v>
      </c>
      <c r="B39" s="215" t="s">
        <v>104</v>
      </c>
      <c r="C39" s="237">
        <f>ROUND(C33*F20,0)</f>
        <v>3384</v>
      </c>
      <c r="D39" s="237"/>
      <c r="E39" s="237"/>
      <c r="F39" s="238"/>
      <c r="G39" s="1179" t="s">
        <v>858</v>
      </c>
    </row>
    <row r="40" spans="1:7" s="219" customFormat="1" ht="13.5" customHeight="1">
      <c r="A40" s="865" t="s">
        <v>603</v>
      </c>
      <c r="B40" s="215" t="s">
        <v>105</v>
      </c>
      <c r="C40" s="267">
        <f>F21</f>
        <v>0.03</v>
      </c>
      <c r="D40" s="241" t="s">
        <v>129</v>
      </c>
      <c r="E40" s="237"/>
      <c r="F40" s="238"/>
      <c r="G40" s="239" t="s">
        <v>120</v>
      </c>
    </row>
    <row r="41" spans="1:7" s="219" customFormat="1" ht="13.5" customHeight="1">
      <c r="A41" s="865" t="s">
        <v>604</v>
      </c>
      <c r="B41" s="215" t="s">
        <v>107</v>
      </c>
      <c r="C41" s="237">
        <f ca="1">ROUND(SUM(C42:C43),0)</f>
        <v>7307</v>
      </c>
      <c r="D41" s="240">
        <f ca="1">C44</f>
        <v>1.9E-3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7094</v>
      </c>
      <c r="D42" s="243"/>
      <c r="E42" s="243"/>
      <c r="F42" s="244"/>
      <c r="G42" s="3432" t="s">
        <v>121</v>
      </c>
    </row>
    <row r="43" spans="1:7" ht="13.5" customHeight="1">
      <c r="A43" s="868" t="s">
        <v>611</v>
      </c>
      <c r="B43" s="220" t="s">
        <v>851</v>
      </c>
      <c r="C43" s="243">
        <f ca="1">ROUND(IF('数据-取费表'!B22&lt;=1,C39*F22*'数据-取费表'!B21/2,C39*(POWER((1+F22),'数据-取费表'!B21/2)-1)),0)</f>
        <v>213</v>
      </c>
      <c r="D43" s="243"/>
      <c r="E43" s="243"/>
      <c r="F43" s="244"/>
      <c r="G43" s="3433"/>
    </row>
    <row r="44" spans="1:7" ht="13.5" customHeight="1">
      <c r="A44" s="868" t="s">
        <v>612</v>
      </c>
      <c r="B44" s="220" t="s">
        <v>853</v>
      </c>
      <c r="C44" s="243">
        <f ca="1">ROUND(IF('数据-取费表'!B22&lt;=1,C40*F22*'数据-取费表'!B21/2,C40*(POWER((1+F22),'数据-取费表'!B21/2)-1)),4)</f>
        <v>1.9E-3</v>
      </c>
      <c r="D44" s="243"/>
      <c r="E44" s="243"/>
      <c r="F44" s="244"/>
      <c r="G44" s="3434"/>
    </row>
    <row r="45" spans="1:7" s="219" customFormat="1" ht="13.5" customHeight="1">
      <c r="A45" s="865" t="s">
        <v>605</v>
      </c>
      <c r="B45" s="249" t="s">
        <v>112</v>
      </c>
      <c r="C45" s="250">
        <f>C46</f>
        <v>29046</v>
      </c>
      <c r="D45" s="240">
        <f>C47</f>
        <v>7.4999999999999997E-3</v>
      </c>
      <c r="E45" s="241" t="s">
        <v>129</v>
      </c>
      <c r="F45" s="251"/>
      <c r="G45" s="252" t="s">
        <v>859</v>
      </c>
    </row>
    <row r="46" spans="1:7" s="219" customFormat="1" ht="13.5" customHeight="1">
      <c r="A46" s="868" t="s">
        <v>613</v>
      </c>
      <c r="B46" s="253" t="s">
        <v>852</v>
      </c>
      <c r="C46" s="254">
        <f>ROUND((C33+C39)*F27,0)</f>
        <v>29046</v>
      </c>
      <c r="D46" s="268"/>
      <c r="E46" s="241"/>
      <c r="F46" s="251"/>
      <c r="G46" s="252"/>
    </row>
    <row r="47" spans="1:7" s="219" customFormat="1" ht="13.5" customHeight="1">
      <c r="A47" s="868" t="s">
        <v>611</v>
      </c>
      <c r="B47" s="253" t="s">
        <v>854</v>
      </c>
      <c r="C47" s="243">
        <f>ROUND(C40*F27,4)</f>
        <v>7.4999999999999997E-3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167953</v>
      </c>
      <c r="D49" s="237"/>
      <c r="E49" s="237"/>
      <c r="F49" s="269"/>
      <c r="G49" s="239" t="s">
        <v>860</v>
      </c>
    </row>
    <row r="50" spans="1:7" s="263" customFormat="1" ht="24">
      <c r="A50" s="865" t="s">
        <v>608</v>
      </c>
      <c r="B50" s="215" t="s">
        <v>124</v>
      </c>
      <c r="C50" s="237"/>
      <c r="D50" s="237"/>
      <c r="E50" s="237"/>
      <c r="F50" s="269">
        <f>IF('数据-取费表'!B24=0,'数据-取费表'!N16,1)</f>
        <v>0.89</v>
      </c>
      <c r="G50" s="252" t="s">
        <v>125</v>
      </c>
    </row>
    <row r="51" spans="1:7" ht="16.5" customHeight="1">
      <c r="A51" s="865" t="s">
        <v>609</v>
      </c>
      <c r="B51" s="215" t="s">
        <v>132</v>
      </c>
      <c r="C51" s="237">
        <f ca="1">ROUND(C49*F50,0)</f>
        <v>149478</v>
      </c>
      <c r="D51" s="237"/>
      <c r="E51" s="237"/>
      <c r="F51" s="269"/>
      <c r="G51" s="239" t="s">
        <v>64</v>
      </c>
    </row>
    <row r="52" spans="1:7" s="213" customFormat="1" ht="16.5" thickBot="1">
      <c r="A52" s="270" t="s">
        <v>65</v>
      </c>
      <c r="B52" s="271"/>
      <c r="C52" s="272">
        <f ca="1">C31+C51</f>
        <v>188275</v>
      </c>
      <c r="D52" s="271"/>
      <c r="E52" s="271"/>
      <c r="F52" s="271"/>
      <c r="G52" s="273"/>
    </row>
    <row r="55" spans="1:7" ht="15">
      <c r="B55" s="275" t="s">
        <v>66</v>
      </c>
      <c r="C55" s="276"/>
    </row>
    <row r="56" spans="1:7">
      <c r="B56" s="278" t="s">
        <v>67</v>
      </c>
      <c r="C56" s="279">
        <f ca="1">ROUND(C51/C52,3)</f>
        <v>0.79400000000000004</v>
      </c>
    </row>
    <row r="57" spans="1:7">
      <c r="B57" s="278" t="s">
        <v>68</v>
      </c>
      <c r="C57" s="280">
        <f ca="1">1-C56</f>
        <v>0.20599999999999996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6" t="s">
        <v>156</v>
      </c>
      <c r="B1" s="3586"/>
      <c r="C1" s="3586"/>
      <c r="D1" s="3586"/>
      <c r="E1" s="3586"/>
      <c r="F1" s="358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7" t="s">
        <v>169</v>
      </c>
      <c r="B2" s="3587"/>
      <c r="C2" s="3587"/>
      <c r="D2" s="3587"/>
      <c r="E2" s="3587"/>
      <c r="F2" s="358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8"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9"/>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6" t="s">
        <v>658</v>
      </c>
      <c r="B1" s="3586"/>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44823</v>
      </c>
      <c r="D1" s="1422" t="s">
        <v>1028</v>
      </c>
      <c r="E1" s="1417">
        <f>'数据-取费表'!B22</f>
        <v>3</v>
      </c>
      <c r="F1" s="1422" t="s">
        <v>1029</v>
      </c>
      <c r="G1" s="1418">
        <f ca="1">INDIRECT("d"&amp;$K$1)/100</f>
        <v>3.6499999999999998E-2</v>
      </c>
      <c r="H1" s="1422" t="s">
        <v>1059</v>
      </c>
      <c r="I1" s="1418">
        <f ca="1">F4/100</f>
        <v>1.4999999999999999E-2</v>
      </c>
      <c r="J1" s="1423">
        <f>IF(C1&gt;C13,0,MATCH(C1,C$13:C$109,-1))+IF(SUMIF(C13:C109,C1,D13:D109)=0,13,12)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2815</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8" t="s">
        <v>1097</v>
      </c>
      <c r="E1" s="1462" t="s">
        <v>1101</v>
      </c>
      <c r="F1" s="1463" t="s">
        <v>1105</v>
      </c>
    </row>
    <row r="2" spans="1:13" ht="18.75">
      <c r="A2" s="1469" t="s">
        <v>1098</v>
      </c>
    </row>
    <row r="3" spans="1:13">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14"/>
  <sheetViews>
    <sheetView topLeftCell="B7" workbookViewId="0">
      <selection activeCell="R17" sqref="R17"/>
    </sheetView>
  </sheetViews>
  <sheetFormatPr defaultColWidth="9" defaultRowHeight="14.25"/>
  <cols>
    <col min="1" max="16384" width="9" style="3230"/>
  </cols>
  <sheetData>
    <row r="4" spans="2:5">
      <c r="B4" s="3230">
        <v>-3</v>
      </c>
      <c r="C4" s="3230">
        <v>32333.41</v>
      </c>
      <c r="D4" s="3230">
        <v>23721.3</v>
      </c>
      <c r="E4" s="3230">
        <f>C4-D4</f>
        <v>8612.11</v>
      </c>
    </row>
    <row r="5" spans="2:5">
      <c r="B5" s="3230">
        <v>-2</v>
      </c>
      <c r="C5" s="3230">
        <v>32062.34</v>
      </c>
      <c r="D5" s="3230">
        <v>110.83</v>
      </c>
      <c r="E5" s="3230">
        <f t="shared" ref="E5:E13" si="0">C5-D5</f>
        <v>31951.51</v>
      </c>
    </row>
    <row r="6" spans="2:5">
      <c r="B6" s="3230" t="s">
        <v>3182</v>
      </c>
      <c r="C6" s="3230">
        <v>2384.77</v>
      </c>
      <c r="E6" s="3230">
        <f t="shared" si="0"/>
        <v>2384.77</v>
      </c>
    </row>
    <row r="7" spans="2:5">
      <c r="B7" s="3230">
        <v>-1</v>
      </c>
      <c r="C7" s="3230">
        <v>38434.839999999997</v>
      </c>
      <c r="D7" s="3230">
        <v>110.19</v>
      </c>
      <c r="E7" s="3230">
        <f t="shared" si="0"/>
        <v>38324.649999999994</v>
      </c>
    </row>
    <row r="8" spans="2:5">
      <c r="B8" s="3230" t="s">
        <v>3181</v>
      </c>
      <c r="C8" s="3230">
        <v>4264.09</v>
      </c>
      <c r="E8" s="3230">
        <f t="shared" si="0"/>
        <v>4264.09</v>
      </c>
    </row>
    <row r="9" spans="2:5">
      <c r="B9" s="3230">
        <v>1</v>
      </c>
      <c r="C9" s="3230">
        <v>35102.15</v>
      </c>
      <c r="D9" s="3230">
        <v>128.35</v>
      </c>
      <c r="E9" s="3231">
        <f t="shared" si="0"/>
        <v>34973.800000000003</v>
      </c>
    </row>
    <row r="10" spans="2:5">
      <c r="B10" s="3230">
        <v>2</v>
      </c>
      <c r="C10" s="3230">
        <v>31457.77</v>
      </c>
      <c r="E10" s="3231">
        <f t="shared" si="0"/>
        <v>31457.77</v>
      </c>
    </row>
    <row r="11" spans="2:5">
      <c r="B11" s="3230">
        <v>3</v>
      </c>
      <c r="C11" s="3230">
        <v>31958.73</v>
      </c>
      <c r="E11" s="3231">
        <f t="shared" si="0"/>
        <v>31958.73</v>
      </c>
    </row>
    <row r="12" spans="2:5">
      <c r="B12" s="3230">
        <v>4</v>
      </c>
      <c r="C12" s="3230">
        <v>26509.040000000001</v>
      </c>
      <c r="E12" s="3231">
        <f t="shared" si="0"/>
        <v>26509.040000000001</v>
      </c>
    </row>
    <row r="13" spans="2:5">
      <c r="B13" s="3230" t="s">
        <v>3180</v>
      </c>
      <c r="C13" s="3230">
        <v>519.59</v>
      </c>
      <c r="E13" s="3231">
        <f t="shared" si="0"/>
        <v>519.59</v>
      </c>
    </row>
    <row r="14" spans="2:5">
      <c r="C14" s="3230">
        <f>SUM(C4:C13)</f>
        <v>235026.73</v>
      </c>
      <c r="D14" s="3230">
        <f>SUM(D4:D13)</f>
        <v>24070.67</v>
      </c>
      <c r="E14" s="3230">
        <f>C14-D14</f>
        <v>210956.06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3" t="str">
        <f>IF(项目基本情况!B9="房地产市场价值","估价结果一览表","结果表-2")</f>
        <v>结果表-2</v>
      </c>
      <c r="B1" s="3263"/>
      <c r="C1" s="3263"/>
      <c r="D1" s="3263"/>
      <c r="E1" s="3263"/>
      <c r="F1" s="3263"/>
      <c r="G1" s="3263"/>
      <c r="H1" s="3263"/>
      <c r="I1" s="3263"/>
    </row>
    <row r="2" spans="1:9" ht="30" customHeight="1" thickTop="1">
      <c r="A2" s="3264" t="s">
        <v>1365</v>
      </c>
      <c r="B2" s="3264" t="s">
        <v>1366</v>
      </c>
      <c r="C2" s="3264" t="s">
        <v>1367</v>
      </c>
      <c r="D2" s="3264" t="str">
        <f>结果表!D116</f>
        <v>出让国有建设用地使用权价值</v>
      </c>
      <c r="E2" s="3264"/>
      <c r="F2" s="3264" t="str">
        <f>结果表!F116</f>
        <v>在建建筑物价值</v>
      </c>
      <c r="G2" s="3264"/>
      <c r="H2" s="3264" t="str">
        <f>IF(项目基本情况!B9="房地产市场价值","房地产市场价值","房地产价值")</f>
        <v>房地产价值</v>
      </c>
      <c r="I2" s="3264"/>
    </row>
    <row r="3" spans="1:9" ht="15">
      <c r="A3" s="3258"/>
      <c r="B3" s="3258"/>
      <c r="C3" s="3258"/>
      <c r="D3" s="943" t="s">
        <v>1362</v>
      </c>
      <c r="E3" s="943" t="s">
        <v>1368</v>
      </c>
      <c r="F3" s="943" t="s">
        <v>1362</v>
      </c>
      <c r="G3" s="943" t="s">
        <v>1363</v>
      </c>
      <c r="H3" s="943" t="s">
        <v>1362</v>
      </c>
      <c r="I3" s="943" t="s">
        <v>1363</v>
      </c>
    </row>
    <row r="4" spans="1:9" ht="15">
      <c r="A4" s="1640" t="str">
        <f>项目基本情况!S2</f>
        <v>北京市房地产</v>
      </c>
      <c r="B4" s="943">
        <f>项目基本情况!C17</f>
        <v>210956.06</v>
      </c>
      <c r="C4" s="943">
        <f>项目基本情况!C18</f>
        <v>55191.78</v>
      </c>
      <c r="D4" s="943">
        <f ca="1">结果表!D118</f>
        <v>181029</v>
      </c>
      <c r="E4" s="943">
        <f ca="1">结果表!E118</f>
        <v>8581</v>
      </c>
      <c r="F4" s="943">
        <f ca="1">结果表!F118</f>
        <v>144563</v>
      </c>
      <c r="G4" s="943">
        <f ca="1">结果表!G118</f>
        <v>6853</v>
      </c>
      <c r="H4" s="943">
        <f ca="1">结果表!H118</f>
        <v>325592</v>
      </c>
      <c r="I4" s="943">
        <f ca="1">结果表!I118</f>
        <v>15434</v>
      </c>
    </row>
    <row r="5" spans="1:9" ht="30" customHeight="1">
      <c r="A5" s="3258" t="s">
        <v>1364</v>
      </c>
      <c r="B5" s="3258"/>
      <c r="C5" s="3258"/>
      <c r="D5" s="3259" t="str">
        <f ca="1">结果表!D119</f>
        <v>壹拾捌亿壹仟零贰拾玖万元整</v>
      </c>
      <c r="E5" s="3259"/>
      <c r="F5" s="3259" t="str">
        <f ca="1">结果表!F119</f>
        <v>壹拾肆亿肆仟伍佰陆拾叁万元整</v>
      </c>
      <c r="G5" s="3259"/>
      <c r="H5" s="3259" t="str">
        <f ca="1">结果表!H119</f>
        <v>叁拾贰亿伍仟伍佰玖拾贰万元整</v>
      </c>
      <c r="I5" s="3259"/>
    </row>
    <row r="6" spans="1:9" ht="15.75">
      <c r="A6" s="3257" t="str">
        <f>结果表!A120</f>
        <v>估价师知悉的法定优先受偿款</v>
      </c>
      <c r="B6" s="3257"/>
      <c r="C6" s="3257"/>
      <c r="D6" s="3257">
        <f>结果表!D120</f>
        <v>0</v>
      </c>
      <c r="E6" s="3257"/>
      <c r="F6" s="3257"/>
      <c r="G6" s="3257"/>
      <c r="H6" s="3257"/>
      <c r="I6" s="3257"/>
    </row>
    <row r="7" spans="1:9" ht="15">
      <c r="A7" s="3258" t="s">
        <v>1364</v>
      </c>
      <c r="B7" s="3258"/>
      <c r="C7" s="3258"/>
      <c r="D7" s="3260" t="str">
        <f>结果表!D121</f>
        <v>零元整</v>
      </c>
      <c r="E7" s="3261"/>
      <c r="F7" s="3261"/>
      <c r="G7" s="3261"/>
      <c r="H7" s="3261"/>
      <c r="I7" s="3262"/>
    </row>
    <row r="8" spans="1:9" ht="15.75">
      <c r="A8" s="3257" t="str">
        <f>结果表!A122</f>
        <v>房地产抵押价值</v>
      </c>
      <c r="B8" s="3257"/>
      <c r="C8" s="3257"/>
      <c r="D8" s="3257">
        <f ca="1">结果表!D122</f>
        <v>325592</v>
      </c>
      <c r="E8" s="3257"/>
      <c r="F8" s="3257"/>
      <c r="G8" s="3257"/>
      <c r="H8" s="3257"/>
      <c r="I8" s="3257"/>
    </row>
    <row r="9" spans="1:9" ht="15">
      <c r="A9" s="3258" t="s">
        <v>1364</v>
      </c>
      <c r="B9" s="3258"/>
      <c r="C9" s="3258"/>
      <c r="D9" s="3259" t="str">
        <f ca="1">结果表!D123</f>
        <v>叁拾贰亿伍仟伍佰玖拾贰万元整</v>
      </c>
      <c r="E9" s="3259"/>
      <c r="F9" s="3259"/>
      <c r="G9" s="3259"/>
      <c r="H9" s="3259"/>
      <c r="I9" s="3259"/>
    </row>
    <row r="10" spans="1:9" ht="15.75">
      <c r="A10" s="3257" t="str">
        <f>结果表!A124</f>
        <v/>
      </c>
      <c r="B10" s="3257"/>
      <c r="C10" s="3257"/>
      <c r="D10" s="3257" t="str">
        <f>结果表!D124</f>
        <v>——</v>
      </c>
      <c r="E10" s="3257"/>
      <c r="F10" s="3257"/>
      <c r="G10" s="3257"/>
      <c r="H10" s="3257"/>
      <c r="I10" s="3257"/>
    </row>
    <row r="11" spans="1:9" ht="15">
      <c r="A11" s="3258" t="s">
        <v>1364</v>
      </c>
      <c r="B11" s="3258"/>
      <c r="C11" s="3258"/>
      <c r="D11" s="3259" t="e">
        <f>结果表!D125</f>
        <v>#VALUE!</v>
      </c>
      <c r="E11" s="3259"/>
      <c r="F11" s="3259"/>
      <c r="G11" s="3259"/>
      <c r="H11" s="3259"/>
      <c r="I11" s="3259"/>
    </row>
    <row r="12" spans="1:9" ht="15.75">
      <c r="A12" s="3257" t="str">
        <f>结果表!A126</f>
        <v>抵押净值</v>
      </c>
      <c r="B12" s="3257"/>
      <c r="C12" s="3257"/>
      <c r="D12" s="3257">
        <f ca="1">结果表!D126</f>
        <v>302147</v>
      </c>
      <c r="E12" s="3257"/>
      <c r="F12" s="3257"/>
      <c r="G12" s="3257"/>
      <c r="H12" s="3257"/>
      <c r="I12" s="3257"/>
    </row>
    <row r="13" spans="1:9" ht="15.75" thickBot="1">
      <c r="A13" s="3254" t="s">
        <v>1364</v>
      </c>
      <c r="B13" s="3254"/>
      <c r="C13" s="3254"/>
      <c r="D13" s="3255" t="str">
        <f ca="1">结果表!D127</f>
        <v>叁拾亿贰仟壹佰肆拾柒万元整</v>
      </c>
      <c r="E13" s="3255"/>
      <c r="F13" s="3255"/>
      <c r="G13" s="3255"/>
      <c r="H13" s="3255"/>
      <c r="I13" s="3255"/>
    </row>
    <row r="14" spans="1:9" ht="15" thickTop="1">
      <c r="A14" s="3256" t="s">
        <v>1369</v>
      </c>
      <c r="B14" s="3256"/>
      <c r="C14" s="3256"/>
      <c r="D14" s="3256"/>
      <c r="E14" s="3256"/>
      <c r="F14" s="3256"/>
      <c r="G14" s="3256"/>
      <c r="H14" s="3256"/>
      <c r="I14" s="325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1" t="s">
        <v>1386</v>
      </c>
      <c r="B1" s="3271"/>
      <c r="C1" s="3271"/>
      <c r="D1" s="3271"/>
    </row>
    <row r="2" spans="1:4" ht="18">
      <c r="A2" s="3272" t="s">
        <v>1370</v>
      </c>
      <c r="B2" s="3272"/>
      <c r="C2" s="3272"/>
      <c r="D2" s="3272"/>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72" t="s">
        <v>1376</v>
      </c>
      <c r="B6" s="3272"/>
      <c r="C6" s="3272"/>
      <c r="D6" s="3272"/>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3" t="s">
        <v>1379</v>
      </c>
      <c r="B11" s="3265"/>
      <c r="C11" s="3265"/>
      <c r="D11" s="3265"/>
    </row>
    <row r="12" spans="1:4" ht="15.75">
      <c r="A12" s="3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5" t="str">
        <f>IF(项目基本情况!B8="抵押","4.本次评估估价师所知悉的法定优先受偿款情况说明如下：","——")</f>
        <v>4.本次评估估价师所知悉的法定优先受偿款情况说明如下：</v>
      </c>
      <c r="B14" s="3270"/>
      <c r="C14" s="3270"/>
      <c r="D14" s="3270"/>
    </row>
    <row r="15" spans="1:4" ht="42" customHeight="1">
      <c r="A15" s="32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5"/>
      <c r="C15" s="3265"/>
      <c r="D15" s="3265"/>
    </row>
    <row r="16" spans="1:4" ht="30" customHeight="1">
      <c r="A16" s="3267" t="s">
        <v>1380</v>
      </c>
      <c r="B16" s="3267"/>
      <c r="C16" s="3267"/>
      <c r="D16" s="3267"/>
    </row>
    <row r="17" spans="1:4" ht="144" customHeight="1">
      <c r="A17" s="3267" t="s">
        <v>1381</v>
      </c>
      <c r="B17" s="3267"/>
      <c r="C17" s="3267"/>
      <c r="D17" s="3267"/>
    </row>
    <row r="18" spans="1:4" ht="15.75" customHeight="1">
      <c r="A18" s="3265" t="str">
        <f>IF(项目基本情况!B8="抵押",结果表!K120,"——")</f>
        <v>故，本次评估不存在估价师知悉的法定优先受偿款</v>
      </c>
      <c r="B18" s="3265"/>
      <c r="C18" s="3265"/>
      <c r="D18" s="3265"/>
    </row>
    <row r="19" spans="1:4" ht="46.5" customHeight="1">
      <c r="A19" s="3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5"/>
      <c r="C19" s="3265"/>
      <c r="D19" s="3265"/>
    </row>
    <row r="20" spans="1:4" ht="57.75" customHeight="1">
      <c r="A20" s="32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5"/>
      <c r="C20" s="3265"/>
      <c r="D20" s="3265"/>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1382</v>
      </c>
      <c r="B22" s="3269"/>
      <c r="C22" s="3269"/>
      <c r="D22" s="3269"/>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66">
        <v>42551</v>
      </c>
      <c r="D31" s="32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79" t="s">
        <v>1393</v>
      </c>
      <c r="B15" s="3274" t="s">
        <v>136</v>
      </c>
      <c r="C15" s="3275"/>
    </row>
    <row r="16" spans="1:7" ht="13.5">
      <c r="A16" s="3280"/>
      <c r="B16" s="3274" t="s">
        <v>69</v>
      </c>
      <c r="C16" s="3275"/>
    </row>
    <row r="17" spans="1:3" ht="13.5">
      <c r="A17" s="3280"/>
      <c r="B17" s="3277" t="s">
        <v>1394</v>
      </c>
      <c r="C17" s="1667" t="s">
        <v>1393</v>
      </c>
    </row>
    <row r="18" spans="1:3" ht="13.5">
      <c r="A18" s="3280"/>
      <c r="B18" s="3277"/>
      <c r="C18" s="1667" t="s">
        <v>1395</v>
      </c>
    </row>
    <row r="19" spans="1:3" ht="13.5">
      <c r="A19" s="3280"/>
      <c r="B19" s="3277"/>
      <c r="C19" s="1667" t="s">
        <v>1396</v>
      </c>
    </row>
    <row r="20" spans="1:3" ht="13.5">
      <c r="A20" s="3281"/>
      <c r="B20" s="3276" t="s">
        <v>1397</v>
      </c>
      <c r="C20" s="3275"/>
    </row>
    <row r="21" spans="1:3" ht="13.5">
      <c r="A21" s="1668" t="s">
        <v>1398</v>
      </c>
      <c r="B21" s="1669"/>
      <c r="C21" s="1670"/>
    </row>
    <row r="22" spans="1:3" ht="13.5">
      <c r="A22" s="3278" t="s">
        <v>1399</v>
      </c>
      <c r="B22" s="3276" t="s">
        <v>1400</v>
      </c>
      <c r="C22" s="3275"/>
    </row>
    <row r="23" spans="1:3" ht="13.5">
      <c r="A23" s="3278"/>
      <c r="B23" s="3276" t="s">
        <v>1401</v>
      </c>
      <c r="C23" s="3275"/>
    </row>
    <row r="24" spans="1:3" ht="13.5">
      <c r="A24" s="3278"/>
      <c r="B24" s="3276" t="s">
        <v>1402</v>
      </c>
      <c r="C24" s="3275"/>
    </row>
    <row r="25" spans="1:3" ht="13.5">
      <c r="A25" s="3278"/>
      <c r="B25" s="3277" t="s">
        <v>1403</v>
      </c>
      <c r="C25" s="1667" t="s">
        <v>1404</v>
      </c>
    </row>
    <row r="26" spans="1:3" ht="13.5">
      <c r="A26" s="3278"/>
      <c r="B26" s="3277"/>
      <c r="C26" s="1667" t="s">
        <v>1405</v>
      </c>
    </row>
    <row r="27" spans="1:3" ht="13.5">
      <c r="A27" s="3278"/>
      <c r="B27" s="3277"/>
      <c r="C27" s="1667" t="s">
        <v>1406</v>
      </c>
    </row>
    <row r="28" spans="1:3" ht="13.5">
      <c r="A28" s="3278"/>
      <c r="B28" s="3277"/>
      <c r="C28" s="1667" t="s">
        <v>1407</v>
      </c>
    </row>
    <row r="29" spans="1:3" ht="13.5">
      <c r="A29" s="3278"/>
      <c r="B29" s="3277"/>
      <c r="C29" s="1667" t="s">
        <v>1408</v>
      </c>
    </row>
    <row r="30" spans="1:3" ht="13.5">
      <c r="A30" s="3278"/>
      <c r="B30" s="3277"/>
      <c r="C30" s="1667" t="s">
        <v>1409</v>
      </c>
    </row>
    <row r="31" spans="1:3" ht="13.5">
      <c r="A31" s="3278"/>
      <c r="B31" s="3277"/>
      <c r="C31" s="1667" t="s">
        <v>1410</v>
      </c>
    </row>
    <row r="32" spans="1:3" ht="13.5">
      <c r="A32" s="3278"/>
      <c r="B32" s="3277"/>
      <c r="C32" s="1667" t="s">
        <v>1411</v>
      </c>
    </row>
    <row r="33" spans="1:3" ht="13.5">
      <c r="A33" s="3278"/>
      <c r="B33" s="3277"/>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44824</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f ca="1">IF(C4&lt;B2,"已过期",1119970066)</f>
        <v>1119970066</v>
      </c>
      <c r="C4" s="2518">
        <v>44876</v>
      </c>
      <c r="D4" s="2519" t="str">
        <f ca="1">A4&amp;"（注册号："&amp;B4&amp;"）"</f>
        <v>梁津（注册号：1119970066）</v>
      </c>
      <c r="E4" s="2520" t="s">
        <v>2649</v>
      </c>
      <c r="F4" s="1424">
        <f ca="1">IF(G4&lt;B2,"已过期",96010014)</f>
        <v>96010014</v>
      </c>
      <c r="G4" s="2521">
        <v>47118</v>
      </c>
      <c r="H4" s="2522" t="str">
        <f ca="1">E4&amp;"（注册号："&amp;F4&amp;"）"</f>
        <v>梁津（注册号：96010014）</v>
      </c>
    </row>
    <row r="5" spans="1:8" ht="24" customHeight="1">
      <c r="A5" s="1424" t="s">
        <v>2650</v>
      </c>
      <c r="B5" s="1424">
        <f ca="1">IF(C5&lt;B2,"已过期",1119970111)</f>
        <v>1119970111</v>
      </c>
      <c r="C5" s="2518">
        <v>44876</v>
      </c>
      <c r="D5" s="2519" t="str">
        <f t="shared" ref="D5:D15" ca="1" si="0">A5&amp;"（注册号："&amp;B5&amp;"）"</f>
        <v>叶凌（注册号：1119970111）</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f ca="1">IF(C7&lt;B2,"已过期",1120000080)</f>
        <v>1120000080</v>
      </c>
      <c r="C7" s="2518">
        <v>44876</v>
      </c>
      <c r="D7" s="2519" t="str">
        <f t="shared" ca="1" si="0"/>
        <v>欧红伟（注册号：1120000080）</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f ca="1">IF(C11&lt;B2,"已过期",1120070131)</f>
        <v>1120070131</v>
      </c>
      <c r="C11" s="2518">
        <v>44849</v>
      </c>
      <c r="D11" s="2519" t="str">
        <f t="shared" ca="1" si="0"/>
        <v>郑燚（注册号：1120070131）</v>
      </c>
      <c r="E11" s="2520" t="s">
        <v>2656</v>
      </c>
      <c r="F11" s="1424">
        <f ca="1">IF(G11&lt;B2,"已过期",2014110011)</f>
        <v>2014110011</v>
      </c>
      <c r="G11" s="2521">
        <v>49302</v>
      </c>
      <c r="H11" s="2522" t="str">
        <f t="shared" ca="1" si="1"/>
        <v>郑燚（注册号：2014110011）</v>
      </c>
    </row>
    <row r="12" spans="1:8" ht="24" customHeight="1">
      <c r="A12" s="1424" t="s">
        <v>2657</v>
      </c>
      <c r="B12" s="1424">
        <f ca="1">IF(C12&lt;B2,"已过期",1120040230)</f>
        <v>1120040230</v>
      </c>
      <c r="C12" s="2523">
        <v>44864</v>
      </c>
      <c r="D12" s="2519" t="str">
        <f t="shared" ca="1" si="0"/>
        <v>苏海（注册号：1120040230）</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2943</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2" t="s">
        <v>2661</v>
      </c>
      <c r="B17" s="3282"/>
      <c r="C17" s="3282"/>
      <c r="D17" s="3282"/>
      <c r="E17" s="3282"/>
      <c r="F17" s="3282"/>
      <c r="G17" s="3282"/>
      <c r="H17" s="3282"/>
    </row>
    <row r="18" spans="1:8" ht="24" customHeight="1">
      <c r="A18" s="3283" t="s">
        <v>2662</v>
      </c>
      <c r="B18" s="3283"/>
      <c r="C18" s="3283"/>
      <c r="D18" s="2516"/>
      <c r="E18" s="3284" t="s">
        <v>2663</v>
      </c>
      <c r="F18" s="3283"/>
      <c r="G18" s="3283"/>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2022-09-20T02:01:03Z</dcterms:modified>
</cp:coreProperties>
</file>