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2.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25" windowHeight="10425" tabRatio="875" firstSheet="15"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比较法-住宅" sheetId="21" r:id="rId31"/>
    <sheet name="不动产收益法" sheetId="15" r:id="rId32"/>
    <sheet name="Sheet2" sheetId="69"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s>
  <externalReferences>
    <externalReference r:id="rId43"/>
  </externalReferences>
  <definedNames>
    <definedName name="_xlnm._FilterDatabase" localSheetId="21"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0"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地价!$A$2:$A$29</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I15" i="66" l="1"/>
  <c r="H15" i="66"/>
  <c r="G15" i="66"/>
  <c r="D15" i="66"/>
  <c r="C15" i="66"/>
  <c r="B15" i="66"/>
  <c r="G47" i="21"/>
  <c r="E47" i="21"/>
  <c r="R47" i="21"/>
  <c r="D123" i="21"/>
  <c r="E123" i="21"/>
  <c r="F123" i="21"/>
  <c r="F42" i="21"/>
  <c r="AA42" i="21"/>
  <c r="F38" i="21"/>
  <c r="AA38" i="21"/>
  <c r="F40" i="21"/>
  <c r="AA40" i="21"/>
  <c r="F41" i="21"/>
  <c r="AA41" i="21"/>
  <c r="F43" i="21"/>
  <c r="AA43" i="21"/>
  <c r="B126" i="21"/>
  <c r="F44" i="21"/>
  <c r="AA44" i="21"/>
  <c r="B128" i="21"/>
  <c r="F45" i="21"/>
  <c r="AA45" i="21"/>
  <c r="B130" i="21"/>
  <c r="F46" i="21"/>
  <c r="AA46" i="21"/>
  <c r="D69" i="21"/>
  <c r="E69" i="21"/>
  <c r="F69" i="21"/>
  <c r="F11" i="21"/>
  <c r="AA11" i="21"/>
  <c r="D101" i="21"/>
  <c r="F32" i="21"/>
  <c r="AA32" i="21"/>
  <c r="F33" i="21"/>
  <c r="AA33" i="21"/>
  <c r="R48" i="21"/>
  <c r="T47" i="21"/>
  <c r="H42" i="21"/>
  <c r="AB42" i="21"/>
  <c r="H38" i="21"/>
  <c r="AB38" i="21"/>
  <c r="H40" i="21"/>
  <c r="AB40" i="21"/>
  <c r="H41" i="21"/>
  <c r="AB41" i="21"/>
  <c r="H43" i="21"/>
  <c r="AB43" i="21"/>
  <c r="H44" i="21"/>
  <c r="AB44" i="21"/>
  <c r="H45" i="21"/>
  <c r="AB45" i="21"/>
  <c r="H46" i="21"/>
  <c r="AB46" i="21"/>
  <c r="H11" i="21"/>
  <c r="AB11" i="21"/>
  <c r="H32" i="21"/>
  <c r="AB32" i="21"/>
  <c r="H33" i="21"/>
  <c r="AB33" i="21"/>
  <c r="T48" i="21"/>
  <c r="J42" i="21"/>
  <c r="AC42" i="21"/>
  <c r="J38" i="21"/>
  <c r="AC38" i="21"/>
  <c r="J40" i="21"/>
  <c r="AC40" i="21"/>
  <c r="J41" i="21"/>
  <c r="AC41" i="21"/>
  <c r="J43" i="21"/>
  <c r="AC43" i="21"/>
  <c r="J44" i="21"/>
  <c r="AC44" i="21"/>
  <c r="J45" i="21"/>
  <c r="AC45" i="21"/>
  <c r="J46" i="21"/>
  <c r="AC46" i="21"/>
  <c r="J11" i="21"/>
  <c r="AC11" i="21"/>
  <c r="J32" i="21"/>
  <c r="AC32" i="21"/>
  <c r="J33" i="21"/>
  <c r="AC33" i="21"/>
  <c r="V48" i="21"/>
  <c r="R49" i="21"/>
  <c r="C49" i="21"/>
  <c r="B3" i="21"/>
  <c r="B2" i="21"/>
  <c r="C10" i="12"/>
  <c r="C8" i="12"/>
  <c r="I47" i="21"/>
  <c r="I37" i="21"/>
  <c r="G37" i="21"/>
  <c r="E37" i="21"/>
  <c r="C33" i="21"/>
  <c r="C11" i="21"/>
  <c r="I7" i="21"/>
  <c r="G7" i="21"/>
  <c r="E7" i="21"/>
  <c r="C12" i="39"/>
  <c r="C11" i="4"/>
  <c r="B6" i="4"/>
  <c r="D3" i="4"/>
  <c r="C106" i="9"/>
  <c r="I40" i="39"/>
  <c r="G40" i="39"/>
  <c r="E40" i="39"/>
  <c r="C40" i="39"/>
  <c r="C13" i="39"/>
  <c r="E73" i="39"/>
  <c r="F73" i="39"/>
  <c r="G73" i="39"/>
  <c r="H73" i="39"/>
  <c r="I73" i="39"/>
  <c r="J73" i="39"/>
  <c r="K73" i="39"/>
  <c r="L73" i="39"/>
  <c r="M73" i="39"/>
  <c r="N73" i="39"/>
  <c r="D73" i="39"/>
  <c r="I9" i="39"/>
  <c r="G9" i="39"/>
  <c r="E9" i="39"/>
  <c r="I7" i="39"/>
  <c r="G7" i="39"/>
  <c r="E7" i="39"/>
  <c r="I48" i="39"/>
  <c r="G48" i="39"/>
  <c r="E48" i="39"/>
  <c r="F6" i="15"/>
  <c r="F8" i="15"/>
  <c r="F7" i="15"/>
  <c r="F9" i="15"/>
  <c r="C6" i="15"/>
  <c r="C1" i="65"/>
  <c r="N1" i="65"/>
  <c r="N4" i="65"/>
  <c r="C4" i="65"/>
  <c r="B39" i="1"/>
  <c r="F11" i="15"/>
  <c r="C10" i="15"/>
  <c r="C5" i="15"/>
  <c r="B2" i="1"/>
  <c r="C42" i="1"/>
  <c r="C32" i="15"/>
  <c r="C33" i="15"/>
  <c r="F35" i="15"/>
  <c r="C34" i="15"/>
  <c r="C31" i="15"/>
  <c r="L7" i="1"/>
  <c r="M7" i="1"/>
  <c r="C14" i="15"/>
  <c r="C15" i="15"/>
  <c r="F16" i="15"/>
  <c r="C16" i="15"/>
  <c r="F43" i="15"/>
  <c r="C17" i="15"/>
  <c r="C18" i="15"/>
  <c r="C19" i="15"/>
  <c r="C20" i="15"/>
  <c r="H1" i="65"/>
  <c r="I5" i="65"/>
  <c r="E2" i="65"/>
  <c r="B40" i="1"/>
  <c r="F24" i="15"/>
  <c r="C23" i="15"/>
  <c r="F26" i="15"/>
  <c r="C26" i="15"/>
  <c r="C24" i="15"/>
  <c r="C27" i="15"/>
  <c r="C28" i="15"/>
  <c r="C29" i="15"/>
  <c r="F36" i="15"/>
  <c r="C36" i="15"/>
  <c r="F13" i="15"/>
  <c r="C13" i="15"/>
  <c r="F37" i="15"/>
  <c r="C37" i="15"/>
  <c r="F38" i="15"/>
  <c r="C38" i="15"/>
  <c r="C30" i="15"/>
  <c r="C39" i="15"/>
  <c r="F42" i="15"/>
  <c r="F40" i="15"/>
  <c r="E19" i="4"/>
  <c r="F7" i="1"/>
  <c r="L48" i="15"/>
  <c r="J51" i="15"/>
  <c r="J53" i="15"/>
  <c r="F1" i="15"/>
  <c r="AE7" i="1"/>
  <c r="F41" i="15"/>
  <c r="C40" i="15"/>
  <c r="M6" i="15"/>
  <c r="M8" i="15"/>
  <c r="M7" i="15"/>
  <c r="M9" i="15"/>
  <c r="J6" i="15"/>
  <c r="M11" i="15"/>
  <c r="J10" i="15"/>
  <c r="J5" i="15"/>
  <c r="J26" i="15"/>
  <c r="J29" i="15"/>
  <c r="L46" i="15"/>
  <c r="B2" i="15"/>
  <c r="D10" i="12"/>
  <c r="B3" i="15"/>
  <c r="D8" i="12"/>
  <c r="N7" i="1"/>
  <c r="F20" i="6"/>
  <c r="F19" i="6"/>
  <c r="I13" i="3"/>
  <c r="K13" i="3"/>
  <c r="Q6" i="59"/>
  <c r="Q7" i="59"/>
  <c r="Q8" i="59"/>
  <c r="Q9" i="59"/>
  <c r="Q10" i="59"/>
  <c r="Q11" i="59"/>
  <c r="Q12" i="59"/>
  <c r="Q13" i="59"/>
  <c r="Q14" i="59"/>
  <c r="Q15" i="59"/>
  <c r="Q16" i="59"/>
  <c r="Q17" i="59"/>
  <c r="Q18" i="59"/>
  <c r="Q19" i="59"/>
  <c r="Q20" i="59"/>
  <c r="Q21" i="59"/>
  <c r="Q22" i="59"/>
  <c r="Q23" i="59"/>
  <c r="Q24" i="59"/>
  <c r="Q25" i="59"/>
  <c r="Q26" i="59"/>
  <c r="Q27" i="59"/>
  <c r="Q28" i="59"/>
  <c r="AB6" i="59"/>
  <c r="Q5" i="59"/>
  <c r="AB5" i="59"/>
  <c r="P6" i="59"/>
  <c r="P7" i="59"/>
  <c r="P8" i="59"/>
  <c r="P9" i="59"/>
  <c r="P10" i="59"/>
  <c r="P11" i="59"/>
  <c r="P12" i="59"/>
  <c r="P13" i="59"/>
  <c r="P14" i="59"/>
  <c r="P15" i="59"/>
  <c r="P16" i="59"/>
  <c r="P17" i="59"/>
  <c r="P18" i="59"/>
  <c r="P19" i="59"/>
  <c r="P20" i="59"/>
  <c r="P21" i="59"/>
  <c r="P22" i="59"/>
  <c r="P23" i="59"/>
  <c r="P24" i="59"/>
  <c r="P25" i="59"/>
  <c r="P26" i="59"/>
  <c r="P27" i="59"/>
  <c r="P28" i="59"/>
  <c r="AA6" i="59"/>
  <c r="P5" i="59"/>
  <c r="AA5" i="59"/>
  <c r="O6" i="59"/>
  <c r="O7" i="59"/>
  <c r="O8" i="59"/>
  <c r="O9" i="59"/>
  <c r="O10" i="59"/>
  <c r="O11" i="59"/>
  <c r="O12" i="59"/>
  <c r="O13" i="59"/>
  <c r="O14" i="59"/>
  <c r="O15" i="59"/>
  <c r="O16" i="59"/>
  <c r="O17" i="59"/>
  <c r="O18" i="59"/>
  <c r="O19" i="59"/>
  <c r="O20" i="59"/>
  <c r="O21" i="59"/>
  <c r="O22" i="59"/>
  <c r="O23" i="59"/>
  <c r="O24" i="59"/>
  <c r="O25" i="59"/>
  <c r="O26" i="59"/>
  <c r="O27" i="59"/>
  <c r="O28" i="59"/>
  <c r="Y6" i="59"/>
  <c r="O5" i="59"/>
  <c r="Y5" i="59"/>
  <c r="N6" i="59"/>
  <c r="N7" i="59"/>
  <c r="N8" i="59"/>
  <c r="N9" i="59"/>
  <c r="N10" i="59"/>
  <c r="N11" i="59"/>
  <c r="N12" i="59"/>
  <c r="N13" i="59"/>
  <c r="N14" i="59"/>
  <c r="N15" i="59"/>
  <c r="N16" i="59"/>
  <c r="N17" i="59"/>
  <c r="N18" i="59"/>
  <c r="N19" i="59"/>
  <c r="N20" i="59"/>
  <c r="N21" i="59"/>
  <c r="N22" i="59"/>
  <c r="N23" i="59"/>
  <c r="N24" i="59"/>
  <c r="N25" i="59"/>
  <c r="N26" i="59"/>
  <c r="N27" i="59"/>
  <c r="N28" i="59"/>
  <c r="X6" i="59"/>
  <c r="N5" i="59"/>
  <c r="X5" i="59"/>
  <c r="AH5" i="59"/>
  <c r="AG5" i="59"/>
  <c r="AE5" i="59"/>
  <c r="AF5" i="59"/>
  <c r="AD5" i="59"/>
  <c r="Z5" i="59"/>
  <c r="F13" i="59"/>
  <c r="F12" i="59"/>
  <c r="F11" i="59"/>
  <c r="F10" i="59"/>
  <c r="F9" i="59"/>
  <c r="F8" i="59"/>
  <c r="F7" i="59"/>
  <c r="F6" i="59"/>
  <c r="F5" i="59"/>
  <c r="E13" i="59"/>
  <c r="E12" i="59"/>
  <c r="E11" i="59"/>
  <c r="E10" i="59"/>
  <c r="E9" i="59"/>
  <c r="E8" i="59"/>
  <c r="E7" i="59"/>
  <c r="E6" i="59"/>
  <c r="E5" i="59"/>
  <c r="C13" i="59"/>
  <c r="C12" i="59"/>
  <c r="C11" i="59"/>
  <c r="C10" i="59"/>
  <c r="C9" i="59"/>
  <c r="C8" i="59"/>
  <c r="C7" i="59"/>
  <c r="C6" i="59"/>
  <c r="C5" i="59"/>
  <c r="D5" i="59"/>
  <c r="B13" i="59"/>
  <c r="B12" i="59"/>
  <c r="B11" i="59"/>
  <c r="B10" i="59"/>
  <c r="B9" i="59"/>
  <c r="B8" i="59"/>
  <c r="B7" i="59"/>
  <c r="B6" i="59"/>
  <c r="B5" i="59"/>
  <c r="AH6" i="59"/>
  <c r="AG6" i="59"/>
  <c r="AE6" i="59"/>
  <c r="AF6" i="59"/>
  <c r="AD6" i="59"/>
  <c r="Z6" i="59"/>
  <c r="D6" i="59"/>
  <c r="AH7" i="59"/>
  <c r="AG7" i="59"/>
  <c r="AE7" i="59"/>
  <c r="AF7" i="59"/>
  <c r="AD7" i="59"/>
  <c r="F25" i="12"/>
  <c r="AH8" i="59"/>
  <c r="AG8" i="59"/>
  <c r="AE8" i="59"/>
  <c r="AF8" i="59"/>
  <c r="AD8" i="59"/>
  <c r="AB7" i="59"/>
  <c r="AA7" i="59"/>
  <c r="Y7" i="59"/>
  <c r="X7" i="59"/>
  <c r="M15" i="49"/>
  <c r="L15" i="49"/>
  <c r="K15" i="49"/>
  <c r="J15" i="49"/>
  <c r="I15" i="49"/>
  <c r="H15" i="49"/>
  <c r="G15" i="49"/>
  <c r="F15" i="49"/>
  <c r="E15" i="49"/>
  <c r="D15" i="49"/>
  <c r="C15" i="49"/>
  <c r="B15" i="49"/>
  <c r="AH9" i="59"/>
  <c r="AG9" i="59"/>
  <c r="AE9" i="59"/>
  <c r="AF9" i="59"/>
  <c r="AD9" i="59"/>
  <c r="L3" i="59"/>
  <c r="AH3" i="59"/>
  <c r="K3" i="59"/>
  <c r="J3" i="59"/>
  <c r="AE3" i="59"/>
  <c r="AF3" i="59"/>
  <c r="I3" i="59"/>
  <c r="AH10" i="59"/>
  <c r="AG10" i="59"/>
  <c r="AE10" i="59"/>
  <c r="AF10" i="59"/>
  <c r="AD10" i="59"/>
  <c r="AA10" i="59"/>
  <c r="X10" i="59"/>
  <c r="AH11" i="59"/>
  <c r="AG11" i="59"/>
  <c r="AE11" i="59"/>
  <c r="AF11" i="59"/>
  <c r="AD11" i="59"/>
  <c r="M19" i="46"/>
  <c r="J50" i="15"/>
  <c r="D14" i="59"/>
  <c r="AH12" i="59"/>
  <c r="AG12" i="59"/>
  <c r="AE12" i="59"/>
  <c r="AF12" i="59"/>
  <c r="AD12" i="59"/>
  <c r="AE13" i="59"/>
  <c r="AF13" i="59"/>
  <c r="AG13" i="59"/>
  <c r="AH13" i="59"/>
  <c r="AD13" i="59"/>
  <c r="AB12" i="59"/>
  <c r="AA12" i="59"/>
  <c r="Y12" i="59"/>
  <c r="Z12" i="59"/>
  <c r="X12" i="59"/>
  <c r="L4" i="9"/>
  <c r="M4" i="9"/>
  <c r="A30" i="64"/>
  <c r="A30" i="51"/>
  <c r="K59" i="15"/>
  <c r="P62" i="15"/>
  <c r="P75" i="15"/>
  <c r="Q74" i="44"/>
  <c r="Q61" i="44"/>
  <c r="Q60" i="44"/>
  <c r="Q53" i="44"/>
  <c r="J51" i="44"/>
  <c r="J52" i="44"/>
  <c r="M48" i="44"/>
  <c r="A16" i="55"/>
  <c r="A15" i="55"/>
  <c r="B66" i="63"/>
  <c r="C43" i="9"/>
  <c r="K47" i="9"/>
  <c r="A14" i="55"/>
  <c r="L24" i="4"/>
  <c r="L25" i="4"/>
  <c r="L26" i="4"/>
  <c r="A11" i="55"/>
  <c r="A10" i="55"/>
  <c r="B61" i="63"/>
  <c r="A9" i="55"/>
  <c r="B60" i="63"/>
  <c r="A8" i="55"/>
  <c r="A6" i="54"/>
  <c r="A8" i="54"/>
  <c r="A7" i="54"/>
  <c r="C57" i="10"/>
  <c r="A28" i="51"/>
  <c r="A27" i="51"/>
  <c r="B20" i="63"/>
  <c r="AB13" i="59"/>
  <c r="Y13" i="59"/>
  <c r="Z13" i="59"/>
  <c r="X13" i="59"/>
  <c r="B17" i="59"/>
  <c r="C17" i="59"/>
  <c r="D17" i="59"/>
  <c r="E17" i="59"/>
  <c r="F17"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7" i="59"/>
  <c r="U17" i="59"/>
  <c r="T17" i="59"/>
  <c r="S17" i="59"/>
  <c r="B16" i="59"/>
  <c r="B15" i="59"/>
  <c r="E16" i="59"/>
  <c r="E15" i="59"/>
  <c r="C16" i="59"/>
  <c r="F16" i="59"/>
  <c r="F15" i="59"/>
  <c r="V13" i="59"/>
  <c r="U13" i="59"/>
  <c r="S13" i="59"/>
  <c r="D16" i="59"/>
  <c r="C15" i="59"/>
  <c r="AD3" i="59"/>
  <c r="AG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H28" i="59"/>
  <c r="AG28" i="59"/>
  <c r="AE28" i="59"/>
  <c r="AF28" i="59"/>
  <c r="AD28" i="59"/>
  <c r="AD29" i="59"/>
  <c r="AE29" i="59"/>
  <c r="AF29" i="59"/>
  <c r="AG29" i="59"/>
  <c r="AH29"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AB27" i="59"/>
  <c r="AA27" i="59"/>
  <c r="Y27" i="59"/>
  <c r="X27" i="59"/>
  <c r="D15" i="59"/>
  <c r="S2" i="31"/>
  <c r="M2" i="31"/>
  <c r="N2" i="31"/>
  <c r="O2" i="31"/>
  <c r="P2" i="31"/>
  <c r="Q2" i="31"/>
  <c r="R2" i="31"/>
  <c r="C3" i="65"/>
  <c r="T13" i="59"/>
  <c r="D13"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A21" i="64"/>
  <c r="B75" i="63"/>
  <c r="B73" i="63"/>
  <c r="A28" i="64"/>
  <c r="A27" i="64"/>
  <c r="A15" i="64"/>
  <c r="A14" i="64"/>
  <c r="A11" i="64"/>
  <c r="A3" i="64"/>
  <c r="A45" i="9"/>
  <c r="A44" i="9"/>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D78" i="59"/>
  <c r="F77" i="59"/>
  <c r="E77" i="59"/>
  <c r="E76" i="59"/>
  <c r="E75" i="59"/>
  <c r="C77" i="59"/>
  <c r="D77" i="59"/>
  <c r="B77" i="59"/>
  <c r="F76" i="59"/>
  <c r="F75" i="59"/>
  <c r="B76" i="59"/>
  <c r="B75" i="59"/>
  <c r="D74" i="59"/>
  <c r="F73" i="59"/>
  <c r="E73" i="59"/>
  <c r="E72" i="59"/>
  <c r="E71" i="59"/>
  <c r="C73" i="59"/>
  <c r="D73" i="59"/>
  <c r="B73" i="59"/>
  <c r="F72" i="59"/>
  <c r="F71" i="59"/>
  <c r="B72" i="59"/>
  <c r="B71" i="59"/>
  <c r="D70" i="59"/>
  <c r="Q69" i="59"/>
  <c r="P69" i="59"/>
  <c r="O69" i="59"/>
  <c r="N69" i="59"/>
  <c r="F69" i="59"/>
  <c r="V69" i="59"/>
  <c r="E69" i="59"/>
  <c r="U69" i="59"/>
  <c r="C69" i="59"/>
  <c r="T69" i="59"/>
  <c r="B69" i="59"/>
  <c r="S69" i="59"/>
  <c r="Q68" i="59"/>
  <c r="P68" i="59"/>
  <c r="O68" i="59"/>
  <c r="N68" i="59"/>
  <c r="F68" i="59"/>
  <c r="F67" i="59"/>
  <c r="B68" i="59"/>
  <c r="B67" i="59"/>
  <c r="Q67" i="59"/>
  <c r="P67" i="59"/>
  <c r="O67" i="59"/>
  <c r="N67" i="59"/>
  <c r="Q66" i="59"/>
  <c r="P66" i="59"/>
  <c r="O66" i="59"/>
  <c r="N66" i="59"/>
  <c r="D66" i="59"/>
  <c r="Q65" i="59"/>
  <c r="P65" i="59"/>
  <c r="O65" i="59"/>
  <c r="N65" i="59"/>
  <c r="F65" i="59"/>
  <c r="V65" i="59"/>
  <c r="E65" i="59"/>
  <c r="U65" i="59"/>
  <c r="C65" i="59"/>
  <c r="T65" i="59"/>
  <c r="B65" i="59"/>
  <c r="S65" i="59"/>
  <c r="Q64" i="59"/>
  <c r="P64" i="59"/>
  <c r="O64" i="59"/>
  <c r="N64" i="59"/>
  <c r="F64" i="59"/>
  <c r="F63" i="59"/>
  <c r="B64" i="59"/>
  <c r="B63" i="59"/>
  <c r="Q63" i="59"/>
  <c r="P63" i="59"/>
  <c r="O63" i="59"/>
  <c r="N63" i="59"/>
  <c r="Q62" i="59"/>
  <c r="P62" i="59"/>
  <c r="O62" i="59"/>
  <c r="N62" i="59"/>
  <c r="D62" i="59"/>
  <c r="Q61" i="59"/>
  <c r="P61" i="59"/>
  <c r="O61" i="59"/>
  <c r="N61" i="59"/>
  <c r="F61" i="59"/>
  <c r="V61" i="59"/>
  <c r="E61" i="59"/>
  <c r="U61" i="59"/>
  <c r="C61" i="59"/>
  <c r="T61" i="59"/>
  <c r="B61" i="59"/>
  <c r="S61" i="59"/>
  <c r="Q60" i="59"/>
  <c r="P60" i="59"/>
  <c r="O60" i="59"/>
  <c r="N60" i="59"/>
  <c r="F60" i="59"/>
  <c r="F59" i="59"/>
  <c r="B60" i="59"/>
  <c r="B59" i="59"/>
  <c r="Q59" i="59"/>
  <c r="P59" i="59"/>
  <c r="O59" i="59"/>
  <c r="N59" i="59"/>
  <c r="Q58" i="59"/>
  <c r="P58" i="59"/>
  <c r="O58" i="59"/>
  <c r="N58" i="59"/>
  <c r="D58" i="59"/>
  <c r="F57" i="59"/>
  <c r="V57" i="59"/>
  <c r="E57" i="59"/>
  <c r="E56" i="59"/>
  <c r="P56" i="59"/>
  <c r="C57" i="59"/>
  <c r="B57" i="59"/>
  <c r="N57" i="59"/>
  <c r="F56" i="59"/>
  <c r="F55" i="59"/>
  <c r="Q55" i="59"/>
  <c r="B56" i="59"/>
  <c r="Q54" i="59"/>
  <c r="D54" i="59"/>
  <c r="Q53" i="59"/>
  <c r="P53" i="59"/>
  <c r="O53" i="59"/>
  <c r="N53" i="59"/>
  <c r="Q52" i="59"/>
  <c r="P52" i="59"/>
  <c r="O52" i="59"/>
  <c r="N52" i="59"/>
  <c r="Q51" i="59"/>
  <c r="P51" i="59"/>
  <c r="O51" i="59"/>
  <c r="N51" i="59"/>
  <c r="Q50" i="59"/>
  <c r="F51" i="59"/>
  <c r="P50" i="59"/>
  <c r="E51" i="59"/>
  <c r="E52" i="59"/>
  <c r="E53" i="59"/>
  <c r="U53" i="59"/>
  <c r="O50" i="59"/>
  <c r="C51" i="59"/>
  <c r="N50" i="59"/>
  <c r="B51" i="59"/>
  <c r="B52" i="59"/>
  <c r="B53" i="59"/>
  <c r="S53" i="59"/>
  <c r="D50" i="59"/>
  <c r="Q49" i="59"/>
  <c r="P49" i="59"/>
  <c r="O49" i="59"/>
  <c r="N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Q38" i="59"/>
  <c r="F39" i="59"/>
  <c r="F40" i="59"/>
  <c r="F41" i="59"/>
  <c r="V41" i="59"/>
  <c r="P38" i="59"/>
  <c r="E39" i="59"/>
  <c r="O38" i="59"/>
  <c r="C39" i="59"/>
  <c r="N38" i="59"/>
  <c r="B39" i="59"/>
  <c r="D38" i="59"/>
  <c r="T37" i="59"/>
  <c r="Q37" i="59"/>
  <c r="P37" i="59"/>
  <c r="O37" i="59"/>
  <c r="N37" i="59"/>
  <c r="D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E31" i="59"/>
  <c r="E32" i="59"/>
  <c r="E33" i="59"/>
  <c r="U33" i="59"/>
  <c r="O30" i="59"/>
  <c r="C31" i="59"/>
  <c r="N30" i="59"/>
  <c r="B31" i="59"/>
  <c r="B32" i="59"/>
  <c r="B33" i="59"/>
  <c r="S33" i="59"/>
  <c r="D30" i="59"/>
  <c r="Q29" i="59"/>
  <c r="P29" i="59"/>
  <c r="O29" i="59"/>
  <c r="N29" i="59"/>
  <c r="AB28" i="59"/>
  <c r="Y28" i="59"/>
  <c r="Z28" i="59"/>
  <c r="X28" i="59"/>
  <c r="F27" i="59"/>
  <c r="E27" i="59"/>
  <c r="E28" i="59"/>
  <c r="E29" i="59"/>
  <c r="U29" i="59"/>
  <c r="C27" i="59"/>
  <c r="B27" i="59"/>
  <c r="B28" i="59"/>
  <c r="B29" i="59"/>
  <c r="S29" i="59"/>
  <c r="D26" i="59"/>
  <c r="F23" i="59"/>
  <c r="E23" i="59"/>
  <c r="E24" i="59"/>
  <c r="E25" i="59"/>
  <c r="U25" i="59"/>
  <c r="C23" i="59"/>
  <c r="B23" i="59"/>
  <c r="B24" i="59"/>
  <c r="B25" i="59"/>
  <c r="S25" i="59"/>
  <c r="D22" i="59"/>
  <c r="F19" i="59"/>
  <c r="C19" i="59"/>
  <c r="B19" i="59"/>
  <c r="D18" i="59"/>
  <c r="X3" i="59"/>
  <c r="X14" i="59"/>
  <c r="X15" i="59"/>
  <c r="X16" i="59"/>
  <c r="X17" i="59"/>
  <c r="AA3" i="59"/>
  <c r="AA14" i="59"/>
  <c r="AA15" i="59"/>
  <c r="AA16" i="59"/>
  <c r="AA17" i="59"/>
  <c r="Y14" i="59"/>
  <c r="Z14" i="59"/>
  <c r="Y15" i="59"/>
  <c r="Z15" i="59"/>
  <c r="Y16" i="59"/>
  <c r="Z16" i="59"/>
  <c r="Y17" i="59"/>
  <c r="Z17" i="59"/>
  <c r="Y3" i="59"/>
  <c r="Z3" i="59"/>
  <c r="AB17" i="59"/>
  <c r="AB3" i="59"/>
  <c r="AB14" i="59"/>
  <c r="AB15" i="59"/>
  <c r="AB16" i="59"/>
  <c r="B20" i="59"/>
  <c r="B21" i="59"/>
  <c r="S21" i="59"/>
  <c r="E19" i="59"/>
  <c r="E20" i="59"/>
  <c r="E21" i="59"/>
  <c r="U21" i="59"/>
  <c r="B40" i="59"/>
  <c r="B41" i="59"/>
  <c r="S41" i="59"/>
  <c r="E40" i="59"/>
  <c r="E41" i="59"/>
  <c r="U41" i="59"/>
  <c r="S57" i="59"/>
  <c r="Z27" i="59"/>
  <c r="AA28" i="59"/>
  <c r="F20" i="59"/>
  <c r="F21" i="59"/>
  <c r="V21" i="59"/>
  <c r="F24" i="59"/>
  <c r="F25" i="59"/>
  <c r="V25" i="59"/>
  <c r="F28" i="59"/>
  <c r="F29" i="59"/>
  <c r="V29" i="59"/>
  <c r="F32" i="59"/>
  <c r="F33" i="59"/>
  <c r="V33" i="59"/>
  <c r="F36" i="59"/>
  <c r="F37" i="59"/>
  <c r="V37" i="59"/>
  <c r="F44" i="59"/>
  <c r="F45" i="59"/>
  <c r="V45" i="59"/>
  <c r="F48" i="59"/>
  <c r="F49" i="59"/>
  <c r="V49" i="59"/>
  <c r="F52" i="59"/>
  <c r="F53" i="59"/>
  <c r="V53" i="59"/>
  <c r="C20" i="59"/>
  <c r="D19" i="59"/>
  <c r="C28" i="59"/>
  <c r="D27" i="59"/>
  <c r="C32" i="59"/>
  <c r="D31" i="59"/>
  <c r="C36" i="59"/>
  <c r="D36" i="59"/>
  <c r="D35" i="59"/>
  <c r="C40" i="59"/>
  <c r="D39" i="59"/>
  <c r="C44" i="59"/>
  <c r="D43" i="59"/>
  <c r="C48" i="59"/>
  <c r="D47" i="59"/>
  <c r="C52" i="59"/>
  <c r="D51" i="59"/>
  <c r="C24" i="59"/>
  <c r="D23" i="59"/>
  <c r="E55" i="59"/>
  <c r="N56" i="59"/>
  <c r="B55" i="59"/>
  <c r="Q56" i="59"/>
  <c r="T57" i="59"/>
  <c r="O57" i="59"/>
  <c r="D57" i="59"/>
  <c r="C56" i="59"/>
  <c r="P57" i="59"/>
  <c r="U57" i="59"/>
  <c r="Q57" i="59"/>
  <c r="C60" i="59"/>
  <c r="E60" i="59"/>
  <c r="E59" i="59"/>
  <c r="D61" i="59"/>
  <c r="C64" i="59"/>
  <c r="E64" i="59"/>
  <c r="E63" i="59"/>
  <c r="D65" i="59"/>
  <c r="C68" i="59"/>
  <c r="E68" i="59"/>
  <c r="E67" i="59"/>
  <c r="D69" i="59"/>
  <c r="C72" i="59"/>
  <c r="C76" i="59"/>
  <c r="U16" i="4"/>
  <c r="S16" i="4"/>
  <c r="Q16" i="4"/>
  <c r="O16" i="4"/>
  <c r="M16" i="4"/>
  <c r="K16" i="4"/>
  <c r="P54" i="59"/>
  <c r="P55" i="59"/>
  <c r="D76" i="59"/>
  <c r="C75" i="59"/>
  <c r="D75" i="59"/>
  <c r="D68" i="59"/>
  <c r="C67" i="59"/>
  <c r="D67" i="59"/>
  <c r="D60" i="59"/>
  <c r="C59" i="59"/>
  <c r="D59" i="59"/>
  <c r="C55" i="59"/>
  <c r="O56" i="59"/>
  <c r="D56" i="59"/>
  <c r="D72" i="59"/>
  <c r="C71" i="59"/>
  <c r="D71" i="59"/>
  <c r="D64" i="59"/>
  <c r="C63" i="59"/>
  <c r="D63" i="59"/>
  <c r="N54" i="59"/>
  <c r="N55" i="59"/>
  <c r="C25" i="59"/>
  <c r="D24" i="59"/>
  <c r="C53" i="59"/>
  <c r="D52" i="59"/>
  <c r="D48" i="59"/>
  <c r="C49" i="59"/>
  <c r="C45" i="59"/>
  <c r="D44" i="59"/>
  <c r="C41" i="59"/>
  <c r="D40" i="59"/>
  <c r="C33" i="59"/>
  <c r="D32" i="59"/>
  <c r="C29" i="59"/>
  <c r="D28" i="59"/>
  <c r="C21" i="59"/>
  <c r="D20" i="59"/>
  <c r="N16" i="4"/>
  <c r="L16" i="4"/>
  <c r="T49" i="59"/>
  <c r="D49" i="59"/>
  <c r="T21" i="59"/>
  <c r="D21" i="59"/>
  <c r="T29" i="59"/>
  <c r="D29" i="59"/>
  <c r="T33" i="59"/>
  <c r="D33" i="59"/>
  <c r="T41" i="59"/>
  <c r="D41" i="59"/>
  <c r="T45" i="59"/>
  <c r="D45" i="59"/>
  <c r="T53" i="59"/>
  <c r="D53" i="59"/>
  <c r="T25" i="59"/>
  <c r="D25" i="59"/>
  <c r="O55" i="59"/>
  <c r="D55" i="59"/>
  <c r="O54" i="59"/>
  <c r="O27" i="6"/>
  <c r="N27" i="6"/>
  <c r="P26" i="6"/>
  <c r="L26" i="6"/>
  <c r="P25" i="6"/>
  <c r="L25" i="6"/>
  <c r="P24" i="6"/>
  <c r="L24" i="6"/>
  <c r="P23" i="6"/>
  <c r="L23" i="6"/>
  <c r="P22" i="6"/>
  <c r="L22" i="6"/>
  <c r="P21" i="6"/>
  <c r="L21" i="6"/>
  <c r="P20" i="6"/>
  <c r="P19" i="6"/>
  <c r="P27" i="6"/>
  <c r="Q18" i="36"/>
  <c r="Z18" i="36"/>
  <c r="C18" i="36"/>
  <c r="D66" i="36"/>
  <c r="F18" i="36"/>
  <c r="AA18" i="36"/>
  <c r="Q18" i="35"/>
  <c r="Z18" i="35"/>
  <c r="F18" i="35"/>
  <c r="AA18" i="35"/>
  <c r="C18" i="35"/>
  <c r="D68" i="35"/>
  <c r="E68" i="35"/>
  <c r="F68" i="35"/>
  <c r="G68" i="35"/>
  <c r="Q21" i="37"/>
  <c r="Z21" i="37"/>
  <c r="F21" i="37"/>
  <c r="AA21" i="37"/>
  <c r="C21" i="37"/>
  <c r="D77" i="37"/>
  <c r="E77" i="37"/>
  <c r="F77" i="37"/>
  <c r="G77" i="37"/>
  <c r="Q21" i="34"/>
  <c r="Z21" i="34"/>
  <c r="C21" i="34"/>
  <c r="D84" i="34"/>
  <c r="F21" i="34"/>
  <c r="AA21" i="34"/>
  <c r="Q21" i="33"/>
  <c r="Z21" i="33"/>
  <c r="C21" i="33"/>
  <c r="D83" i="33"/>
  <c r="E83" i="33"/>
  <c r="F83" i="33"/>
  <c r="G83" i="33"/>
  <c r="Q21" i="21"/>
  <c r="Z21" i="21"/>
  <c r="D83" i="21"/>
  <c r="E83" i="21"/>
  <c r="F21" i="21"/>
  <c r="AA21" i="21"/>
  <c r="C21" i="21"/>
  <c r="Q27" i="40"/>
  <c r="Z27" i="40"/>
  <c r="D96" i="40"/>
  <c r="E96" i="40"/>
  <c r="F27" i="40"/>
  <c r="AA27" i="40"/>
  <c r="Q31" i="39"/>
  <c r="Z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D23" i="15"/>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M6" i="1"/>
  <c r="O6" i="1"/>
  <c r="P6" i="1"/>
  <c r="O7" i="1"/>
  <c r="P7" i="1"/>
  <c r="P16" i="1"/>
  <c r="C13" i="12"/>
  <c r="C14" i="12"/>
  <c r="C15" i="12"/>
  <c r="D16" i="12"/>
  <c r="C16" i="12"/>
  <c r="C17" i="12"/>
  <c r="C18" i="12"/>
  <c r="C109" i="9"/>
  <c r="C145" i="21"/>
  <c r="J142" i="21"/>
  <c r="J140" i="21"/>
  <c r="K139" i="21"/>
  <c r="K145"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G7" i="1"/>
  <c r="B2"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c r="M8" i="1"/>
  <c r="O8" i="1"/>
  <c r="P8" i="1"/>
  <c r="E22" i="6"/>
  <c r="E23" i="6"/>
  <c r="E24" i="6"/>
  <c r="E25" i="6"/>
  <c r="E26" i="6"/>
  <c r="D38" i="4"/>
  <c r="C39" i="4"/>
  <c r="C35" i="4"/>
  <c r="E16" i="12"/>
  <c r="F14" i="12"/>
  <c r="F15" i="12"/>
  <c r="F17" i="12"/>
  <c r="E19" i="12"/>
  <c r="E21" i="12"/>
  <c r="E22" i="12"/>
  <c r="F23" i="12"/>
  <c r="F24" i="12"/>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D124"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C6" i="12"/>
  <c r="B24" i="1"/>
  <c r="E77" i="9"/>
  <c r="O75" i="9"/>
  <c r="L75" i="9"/>
  <c r="F77" i="9"/>
  <c r="P75" i="9"/>
  <c r="O74" i="9"/>
  <c r="O73" i="9"/>
  <c r="E66" i="9"/>
  <c r="O72" i="9"/>
  <c r="F74" i="9"/>
  <c r="P74" i="9"/>
  <c r="N67" i="9"/>
  <c r="K44" i="9"/>
  <c r="K43" i="9"/>
  <c r="B31" i="1"/>
  <c r="E10" i="1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C92"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AC481" i="3"/>
  <c r="G481" i="3"/>
  <c r="BB481" i="3"/>
  <c r="BC481" i="3"/>
  <c r="BD481" i="3"/>
  <c r="BE481" i="3"/>
  <c r="BF481" i="3"/>
  <c r="BG481" i="3"/>
  <c r="BH481" i="3"/>
  <c r="BI481" i="3"/>
  <c r="BJ481" i="3"/>
  <c r="BK481" i="3"/>
  <c r="BM481" i="3"/>
  <c r="BN481" i="3"/>
  <c r="BO481" i="3"/>
  <c r="BP481" i="3"/>
  <c r="BQ481" i="3"/>
  <c r="BR481" i="3"/>
  <c r="BS481" i="3"/>
  <c r="BT481" i="3"/>
  <c r="H482" i="3"/>
  <c r="AC482" i="3"/>
  <c r="G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c r="BB489" i="3"/>
  <c r="BC489" i="3"/>
  <c r="BD489" i="3"/>
  <c r="BE489" i="3"/>
  <c r="BF489" i="3"/>
  <c r="BG489" i="3"/>
  <c r="BH489" i="3"/>
  <c r="BI489" i="3"/>
  <c r="BJ489" i="3"/>
  <c r="BK489" i="3"/>
  <c r="BM489" i="3"/>
  <c r="BN489" i="3"/>
  <c r="BO489" i="3"/>
  <c r="BP489" i="3"/>
  <c r="BQ489" i="3"/>
  <c r="BR489" i="3"/>
  <c r="BS489" i="3"/>
  <c r="BT489" i="3"/>
  <c r="H490" i="3"/>
  <c r="AC490" i="3"/>
  <c r="G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G495" i="3"/>
  <c r="BB495" i="3"/>
  <c r="BC495" i="3"/>
  <c r="BD495" i="3"/>
  <c r="BE495" i="3"/>
  <c r="BF495" i="3"/>
  <c r="BG495" i="3"/>
  <c r="BH495" i="3"/>
  <c r="BI495" i="3"/>
  <c r="BJ495" i="3"/>
  <c r="BK495" i="3"/>
  <c r="BM495" i="3"/>
  <c r="BN495" i="3"/>
  <c r="BO495" i="3"/>
  <c r="BP495" i="3"/>
  <c r="BQ495" i="3"/>
  <c r="BR495" i="3"/>
  <c r="BS495" i="3"/>
  <c r="BT495" i="3"/>
  <c r="H496" i="3"/>
  <c r="AC496" i="3"/>
  <c r="G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G503" i="3"/>
  <c r="BB503" i="3"/>
  <c r="BC503" i="3"/>
  <c r="BD503" i="3"/>
  <c r="BE503" i="3"/>
  <c r="BF503" i="3"/>
  <c r="BG503" i="3"/>
  <c r="BH503" i="3"/>
  <c r="BI503" i="3"/>
  <c r="BJ503" i="3"/>
  <c r="BK503" i="3"/>
  <c r="BM503" i="3"/>
  <c r="BN503" i="3"/>
  <c r="BO503" i="3"/>
  <c r="BP503" i="3"/>
  <c r="BQ503" i="3"/>
  <c r="BR503" i="3"/>
  <c r="BS503" i="3"/>
  <c r="BT503" i="3"/>
  <c r="H504" i="3"/>
  <c r="AC504" i="3"/>
  <c r="G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AC511" i="3"/>
  <c r="G511" i="3"/>
  <c r="BB511" i="3"/>
  <c r="BC511" i="3"/>
  <c r="BD511" i="3"/>
  <c r="BE511" i="3"/>
  <c r="BF511" i="3"/>
  <c r="BG511" i="3"/>
  <c r="BH511" i="3"/>
  <c r="BI511" i="3"/>
  <c r="BJ511" i="3"/>
  <c r="BK511" i="3"/>
  <c r="BM511" i="3"/>
  <c r="BN511" i="3"/>
  <c r="BO511" i="3"/>
  <c r="BP511" i="3"/>
  <c r="BQ511" i="3"/>
  <c r="BR511" i="3"/>
  <c r="BS511" i="3"/>
  <c r="BT511" i="3"/>
  <c r="H512" i="3"/>
  <c r="AC512" i="3"/>
  <c r="G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c r="BB519" i="3"/>
  <c r="BC519" i="3"/>
  <c r="BD519" i="3"/>
  <c r="BE519" i="3"/>
  <c r="BF519" i="3"/>
  <c r="BG519" i="3"/>
  <c r="BH519" i="3"/>
  <c r="BI519" i="3"/>
  <c r="BJ519" i="3"/>
  <c r="BK519" i="3"/>
  <c r="BM519" i="3"/>
  <c r="BN519" i="3"/>
  <c r="BO519" i="3"/>
  <c r="BP519" i="3"/>
  <c r="BQ519" i="3"/>
  <c r="BR519" i="3"/>
  <c r="BS519" i="3"/>
  <c r="BT519" i="3"/>
  <c r="H520" i="3"/>
  <c r="AC520" i="3"/>
  <c r="G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AC524" i="3"/>
  <c r="G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c r="BB527" i="3"/>
  <c r="BC527" i="3"/>
  <c r="BD527" i="3"/>
  <c r="BE527" i="3"/>
  <c r="BF527" i="3"/>
  <c r="BG527" i="3"/>
  <c r="BH527" i="3"/>
  <c r="BI527" i="3"/>
  <c r="BJ527" i="3"/>
  <c r="BK527" i="3"/>
  <c r="BM527" i="3"/>
  <c r="BN527" i="3"/>
  <c r="BO527" i="3"/>
  <c r="BP527" i="3"/>
  <c r="BQ527" i="3"/>
  <c r="BR527" i="3"/>
  <c r="BS527" i="3"/>
  <c r="BT527" i="3"/>
  <c r="H528" i="3"/>
  <c r="AC528" i="3"/>
  <c r="G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G535" i="3"/>
  <c r="BB535" i="3"/>
  <c r="BC535" i="3"/>
  <c r="BD535" i="3"/>
  <c r="BE535" i="3"/>
  <c r="BF535" i="3"/>
  <c r="BG535" i="3"/>
  <c r="BH535" i="3"/>
  <c r="BI535" i="3"/>
  <c r="BJ535" i="3"/>
  <c r="BK535" i="3"/>
  <c r="BM535" i="3"/>
  <c r="BN535" i="3"/>
  <c r="BO535" i="3"/>
  <c r="BP535" i="3"/>
  <c r="BQ535" i="3"/>
  <c r="BR535" i="3"/>
  <c r="BS535" i="3"/>
  <c r="BT535" i="3"/>
  <c r="H536" i="3"/>
  <c r="AC536" i="3"/>
  <c r="G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G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AC548" i="3"/>
  <c r="G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AC553" i="3"/>
  <c r="G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AC564" i="3"/>
  <c r="G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G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G123" i="21"/>
  <c r="H123" i="21"/>
  <c r="I123" i="21"/>
  <c r="J123" i="21"/>
  <c r="K123" i="21"/>
  <c r="L123" i="21"/>
  <c r="M123"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W38" i="21"/>
  <c r="Q38" i="21"/>
  <c r="Z38" i="21"/>
  <c r="J39" i="21"/>
  <c r="AC39" i="21"/>
  <c r="Q39" i="21"/>
  <c r="Z39" i="21"/>
  <c r="Q40" i="21"/>
  <c r="Z40" i="21"/>
  <c r="Q41" i="21"/>
  <c r="Z41" i="21"/>
  <c r="Q42" i="21"/>
  <c r="Z42" i="21"/>
  <c r="Q43" i="21"/>
  <c r="Z43" i="21"/>
  <c r="Q44" i="21"/>
  <c r="Z44" i="21"/>
  <c r="Q45" i="21"/>
  <c r="Z45" i="21"/>
  <c r="Q46" i="21"/>
  <c r="Z46" i="21"/>
  <c r="P47" i="21"/>
  <c r="V47" i="21"/>
  <c r="P48" i="21"/>
  <c r="P49" i="21"/>
  <c r="F8" i="21"/>
  <c r="AA8" i="21"/>
  <c r="E13" i="11"/>
  <c r="E12" i="11"/>
  <c r="C9" i="12"/>
  <c r="BB12" i="3"/>
  <c r="F9" i="12"/>
  <c r="D9" i="12"/>
  <c r="E9" i="12"/>
  <c r="G9" i="12"/>
  <c r="K5" i="3"/>
  <c r="J5" i="3"/>
  <c r="BE10" i="3"/>
  <c r="BD13" i="3"/>
  <c r="BE13" i="3"/>
  <c r="BF13" i="3"/>
  <c r="BF570" i="3"/>
  <c r="BF571" i="3"/>
  <c r="BF572" i="3"/>
  <c r="BF5" i="3"/>
  <c r="BG13" i="3"/>
  <c r="BG570" i="3"/>
  <c r="BG571" i="3"/>
  <c r="BG572" i="3"/>
  <c r="BG5" i="3"/>
  <c r="BH13" i="3"/>
  <c r="BI13" i="3"/>
  <c r="BI570" i="3"/>
  <c r="BI571" i="3"/>
  <c r="BI572" i="3"/>
  <c r="BI5" i="3"/>
  <c r="BJ13" i="3"/>
  <c r="BK13" i="3"/>
  <c r="BM13" i="3"/>
  <c r="BN13" i="3"/>
  <c r="BO13" i="3"/>
  <c r="BP13" i="3"/>
  <c r="BS13" i="3"/>
  <c r="BT13" i="3"/>
  <c r="BT570" i="3"/>
  <c r="BT571" i="3"/>
  <c r="BT572" i="3"/>
  <c r="BT5" i="3"/>
  <c r="BB570" i="3"/>
  <c r="BC570" i="3"/>
  <c r="BD570" i="3"/>
  <c r="BE570" i="3"/>
  <c r="BH570" i="3"/>
  <c r="BJ570" i="3"/>
  <c r="BK570" i="3"/>
  <c r="BA570" i="3"/>
  <c r="BM570" i="3"/>
  <c r="BN570" i="3"/>
  <c r="BO570" i="3"/>
  <c r="BP570" i="3"/>
  <c r="BQ570" i="3"/>
  <c r="BR570" i="3"/>
  <c r="BS570" i="3"/>
  <c r="BB571" i="3"/>
  <c r="BC571" i="3"/>
  <c r="BD571" i="3"/>
  <c r="BE571" i="3"/>
  <c r="BH571" i="3"/>
  <c r="BJ571" i="3"/>
  <c r="BK571" i="3"/>
  <c r="BM571" i="3"/>
  <c r="BN571" i="3"/>
  <c r="BO571" i="3"/>
  <c r="BP571" i="3"/>
  <c r="BQ571" i="3"/>
  <c r="BR571" i="3"/>
  <c r="BS571" i="3"/>
  <c r="BB572" i="3"/>
  <c r="BC572" i="3"/>
  <c r="BD572" i="3"/>
  <c r="BE572" i="3"/>
  <c r="BH572" i="3"/>
  <c r="BJ572" i="3"/>
  <c r="BK572" i="3"/>
  <c r="BM572" i="3"/>
  <c r="BN572" i="3"/>
  <c r="BO572" i="3"/>
  <c r="BP572" i="3"/>
  <c r="BQ572" i="3"/>
  <c r="BR572" i="3"/>
  <c r="BS572" i="3"/>
  <c r="AC570" i="3"/>
  <c r="AC571" i="3"/>
  <c r="H571" i="3"/>
  <c r="G571" i="3"/>
  <c r="AC572" i="3"/>
  <c r="H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70"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G570" i="3"/>
  <c r="F5" i="3"/>
  <c r="G27" i="6"/>
  <c r="F34" i="21"/>
  <c r="AA34" i="21"/>
  <c r="H34" i="21"/>
  <c r="U34" i="21"/>
  <c r="S43" i="21"/>
  <c r="S38" i="21"/>
  <c r="F36" i="21"/>
  <c r="S36" i="21"/>
  <c r="F39" i="21"/>
  <c r="AA39" i="21"/>
  <c r="W40" i="21"/>
  <c r="H35" i="21"/>
  <c r="AB35" i="21"/>
  <c r="J8" i="21"/>
  <c r="AC8" i="21"/>
  <c r="J9" i="21"/>
  <c r="AC9" i="21"/>
  <c r="H8" i="21"/>
  <c r="H9" i="21"/>
  <c r="AB9" i="21"/>
  <c r="H10" i="21"/>
  <c r="U10" i="21"/>
  <c r="H39" i="21"/>
  <c r="AB39" i="21"/>
  <c r="J34" i="21"/>
  <c r="W34" i="21"/>
  <c r="H36" i="21"/>
  <c r="U36" i="21"/>
  <c r="F35" i="21"/>
  <c r="AA35" i="21"/>
  <c r="W33" i="21"/>
  <c r="U33" i="21"/>
  <c r="J10" i="21"/>
  <c r="AC10" i="21"/>
  <c r="H26" i="21"/>
  <c r="F19" i="21"/>
  <c r="AA19" i="21"/>
  <c r="H19" i="21"/>
  <c r="AB19" i="21"/>
  <c r="J19" i="21"/>
  <c r="W19" i="21"/>
  <c r="J12" i="21"/>
  <c r="H12" i="21"/>
  <c r="U12" i="21"/>
  <c r="J26" i="21"/>
  <c r="W26" i="21"/>
  <c r="F26" i="21"/>
  <c r="AA26" i="21"/>
  <c r="S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S11" i="21"/>
  <c r="AB36" i="21"/>
  <c r="AC35" i="21"/>
  <c r="C29" i="39"/>
  <c r="C23" i="39"/>
  <c r="U36" i="39"/>
  <c r="S42" i="39"/>
  <c r="H32" i="33"/>
  <c r="AB32" i="33"/>
  <c r="U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4" i="34"/>
  <c r="AC44" i="34"/>
  <c r="F44" i="34"/>
  <c r="S44" i="34"/>
  <c r="J10" i="35"/>
  <c r="W10" i="35"/>
  <c r="AL5" i="3"/>
  <c r="BQ13" i="3"/>
  <c r="BL13" i="3"/>
  <c r="BL572" i="3"/>
  <c r="BA572" i="3"/>
  <c r="AZ572" i="3"/>
  <c r="J14" i="21"/>
  <c r="F14" i="21"/>
  <c r="AA14" i="21"/>
  <c r="H14" i="21"/>
  <c r="U14" i="21"/>
  <c r="H28" i="21"/>
  <c r="AB28" i="21"/>
  <c r="F28" i="21"/>
  <c r="J28" i="21"/>
  <c r="AC28" i="21"/>
  <c r="H30" i="21"/>
  <c r="U30" i="21"/>
  <c r="F30" i="21"/>
  <c r="S30" i="21"/>
  <c r="J30" i="21"/>
  <c r="U44" i="21"/>
  <c r="W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W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S19" i="21"/>
  <c r="G529" i="3"/>
  <c r="G521" i="3"/>
  <c r="G517" i="3"/>
  <c r="G513" i="3"/>
  <c r="G508" i="3"/>
  <c r="G499" i="3"/>
  <c r="G493" i="3"/>
  <c r="G485" i="3"/>
  <c r="G17" i="3"/>
  <c r="G565" i="3"/>
  <c r="G561" i="3"/>
  <c r="G557" i="3"/>
  <c r="G549" i="3"/>
  <c r="G545" i="3"/>
  <c r="G539" i="3"/>
  <c r="BL569" i="3"/>
  <c r="BA569" i="3"/>
  <c r="AZ569" i="3"/>
  <c r="BL561" i="3"/>
  <c r="BL557" i="3"/>
  <c r="BL553" i="3"/>
  <c r="BL545" i="3"/>
  <c r="BL535" i="3"/>
  <c r="BL527" i="3"/>
  <c r="BL519" i="3"/>
  <c r="BL511" i="3"/>
  <c r="BL501" i="3"/>
  <c r="BL491" i="3"/>
  <c r="BL483" i="3"/>
  <c r="G16" i="3"/>
  <c r="BL563" i="3"/>
  <c r="BL559" i="3"/>
  <c r="BA559" i="3"/>
  <c r="AZ559" i="3"/>
  <c r="BL555" i="3"/>
  <c r="BL551" i="3"/>
  <c r="BL541" i="3"/>
  <c r="BL533" i="3"/>
  <c r="BL525" i="3"/>
  <c r="G518" i="3"/>
  <c r="G514" i="3"/>
  <c r="G510" i="3"/>
  <c r="BL503" i="3"/>
  <c r="BL495" i="3"/>
  <c r="BL485" i="3"/>
  <c r="G18" i="3"/>
  <c r="BA565" i="3"/>
  <c r="BA561" i="3"/>
  <c r="AZ561" i="3"/>
  <c r="BA557" i="3"/>
  <c r="AZ557" i="3"/>
  <c r="BA555" i="3"/>
  <c r="AZ555" i="3"/>
  <c r="BA551" i="3"/>
  <c r="AZ551" i="3"/>
  <c r="BA545" i="3"/>
  <c r="BA543" i="3"/>
  <c r="BA541" i="3"/>
  <c r="AZ541" i="3"/>
  <c r="BA531" i="3"/>
  <c r="BA521" i="3"/>
  <c r="BA509" i="3"/>
  <c r="BA505" i="3"/>
  <c r="BA501" i="3"/>
  <c r="BA493" i="3"/>
  <c r="BL493" i="3"/>
  <c r="AZ493" i="3"/>
  <c r="BA487" i="3"/>
  <c r="BA19" i="3"/>
  <c r="BA566" i="3"/>
  <c r="BA562" i="3"/>
  <c r="BA560" i="3"/>
  <c r="BA558" i="3"/>
  <c r="BA556" i="3"/>
  <c r="BA554" i="3"/>
  <c r="BA550" i="3"/>
  <c r="BQ550" i="3"/>
  <c r="BL550" i="3"/>
  <c r="AZ550" i="3"/>
  <c r="BA546" i="3"/>
  <c r="BA544" i="3"/>
  <c r="BA540" i="3"/>
  <c r="BA536" i="3"/>
  <c r="BA532" i="3"/>
  <c r="BA528" i="3"/>
  <c r="BA524" i="3"/>
  <c r="BA520" i="3"/>
  <c r="BQ520" i="3"/>
  <c r="BL520" i="3"/>
  <c r="AZ520" i="3"/>
  <c r="BA516" i="3"/>
  <c r="BA512" i="3"/>
  <c r="BA508" i="3"/>
  <c r="BA502" i="3"/>
  <c r="BQ502" i="3"/>
  <c r="BL502" i="3"/>
  <c r="AZ502" i="3"/>
  <c r="BA498" i="3"/>
  <c r="BA492" i="3"/>
  <c r="BQ492" i="3"/>
  <c r="BL492" i="3"/>
  <c r="AZ492" i="3"/>
  <c r="BA488" i="3"/>
  <c r="BA484" i="3"/>
  <c r="BQ484" i="3"/>
  <c r="BL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18" i="3"/>
  <c r="BQ516" i="3"/>
  <c r="BL516" i="3"/>
  <c r="BQ514" i="3"/>
  <c r="BL514" i="3"/>
  <c r="BQ512" i="3"/>
  <c r="BQ510" i="3"/>
  <c r="BL510" i="3"/>
  <c r="BQ508" i="3"/>
  <c r="BL508" i="3"/>
  <c r="AC506" i="3"/>
  <c r="G506" i="3"/>
  <c r="BQ506" i="3"/>
  <c r="G502" i="3"/>
  <c r="G498" i="3"/>
  <c r="BQ504" i="3"/>
  <c r="BQ500" i="3"/>
  <c r="BL500" i="3"/>
  <c r="BQ498" i="3"/>
  <c r="BQ496" i="3"/>
  <c r="AC494" i="3"/>
  <c r="BQ494" i="3"/>
  <c r="G492" i="3"/>
  <c r="G488" i="3"/>
  <c r="G484" i="3"/>
  <c r="G20" i="3"/>
  <c r="BQ490" i="3"/>
  <c r="BQ488" i="3"/>
  <c r="BL488" i="3"/>
  <c r="BQ486"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BL305" i="3"/>
  <c r="AZ305" i="3"/>
  <c r="G321" i="3"/>
  <c r="BL322" i="3"/>
  <c r="G323" i="3"/>
  <c r="BL324" i="3"/>
  <c r="BA326" i="3"/>
  <c r="AZ326" i="3"/>
  <c r="BA327" i="3"/>
  <c r="BL327" i="3"/>
  <c r="AZ327" i="3"/>
  <c r="G328" i="3"/>
  <c r="BA329" i="3"/>
  <c r="BL329" i="3"/>
  <c r="AZ329" i="3"/>
  <c r="G337" i="3"/>
  <c r="BL338" i="3"/>
  <c r="G339" i="3"/>
  <c r="BL340" i="3"/>
  <c r="BA342" i="3"/>
  <c r="AZ342" i="3"/>
  <c r="BA343" i="3"/>
  <c r="BL343" i="3"/>
  <c r="AZ343" i="3"/>
  <c r="G344" i="3"/>
  <c r="BA345" i="3"/>
  <c r="BL345" i="3"/>
  <c r="AZ345" i="3"/>
  <c r="G353" i="3"/>
  <c r="BL354" i="3"/>
  <c r="G355" i="3"/>
  <c r="BL356" i="3"/>
  <c r="G357" i="3"/>
  <c r="BL358" i="3"/>
  <c r="BA358" i="3"/>
  <c r="AZ358" i="3"/>
  <c r="G359" i="3"/>
  <c r="BA360" i="3"/>
  <c r="AZ360" i="3"/>
  <c r="BA361" i="3"/>
  <c r="BL361" i="3"/>
  <c r="G362" i="3"/>
  <c r="BA363" i="3"/>
  <c r="G371" i="3"/>
  <c r="BL372" i="3"/>
  <c r="G373" i="3"/>
  <c r="BL374" i="3"/>
  <c r="BA376" i="3"/>
  <c r="AZ376" i="3"/>
  <c r="BA377" i="3"/>
  <c r="BL377" i="3"/>
  <c r="AZ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BL299" i="3"/>
  <c r="AZ299" i="3"/>
  <c r="G300" i="3"/>
  <c r="G303" i="3"/>
  <c r="BL304" i="3"/>
  <c r="BA306" i="3"/>
  <c r="AZ306" i="3"/>
  <c r="BA307" i="3"/>
  <c r="BL307" i="3"/>
  <c r="AZ307" i="3"/>
  <c r="G308" i="3"/>
  <c r="G319" i="3"/>
  <c r="BL320" i="3"/>
  <c r="BA322" i="3"/>
  <c r="BA323" i="3"/>
  <c r="BL323" i="3"/>
  <c r="AZ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BL355" i="3"/>
  <c r="AZ355" i="3"/>
  <c r="G356" i="3"/>
  <c r="AZ127" i="3"/>
  <c r="AZ143" i="3"/>
  <c r="BA359" i="3"/>
  <c r="BL359" i="3"/>
  <c r="AZ359" i="3"/>
  <c r="G360" i="3"/>
  <c r="G361" i="3"/>
  <c r="BL362" i="3"/>
  <c r="BA364" i="3"/>
  <c r="AZ364" i="3"/>
  <c r="BA365" i="3"/>
  <c r="BL365" i="3"/>
  <c r="AZ365" i="3"/>
  <c r="G366" i="3"/>
  <c r="G369" i="3"/>
  <c r="BL370" i="3"/>
  <c r="BA370" i="3"/>
  <c r="AZ370" i="3"/>
  <c r="BA372" i="3"/>
  <c r="AZ372" i="3"/>
  <c r="BA373" i="3"/>
  <c r="BL373" i="3"/>
  <c r="AZ373" i="3"/>
  <c r="G374" i="3"/>
  <c r="G377" i="3"/>
  <c r="BL378" i="3"/>
  <c r="BA380" i="3"/>
  <c r="AZ380" i="3"/>
  <c r="BA381" i="3"/>
  <c r="BL381" i="3"/>
  <c r="AZ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G330" i="3"/>
  <c r="BA332" i="3"/>
  <c r="AZ332" i="3"/>
  <c r="BL333" i="3"/>
  <c r="G334" i="3"/>
  <c r="BA336" i="3"/>
  <c r="AZ336" i="3"/>
  <c r="BL337" i="3"/>
  <c r="G338" i="3"/>
  <c r="BA340" i="3"/>
  <c r="AZ340" i="3"/>
  <c r="BL341" i="3"/>
  <c r="G342" i="3"/>
  <c r="BA344" i="3"/>
  <c r="AZ344"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U32" i="21"/>
  <c r="AB26" i="21"/>
  <c r="U26" i="21"/>
  <c r="S33" i="21"/>
  <c r="U39" i="21"/>
  <c r="W9" i="21"/>
  <c r="G13" i="3"/>
  <c r="AC5" i="3"/>
  <c r="F17" i="21"/>
  <c r="S17" i="21"/>
  <c r="H17" i="21"/>
  <c r="AB17" i="21"/>
  <c r="J17" i="21"/>
  <c r="AC17" i="21"/>
  <c r="H37" i="21"/>
  <c r="U37" i="21"/>
  <c r="S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S28" i="33"/>
  <c r="S14" i="21"/>
  <c r="AA44" i="34"/>
  <c r="AB29" i="35"/>
  <c r="U29" i="35"/>
  <c r="AC19" i="33"/>
  <c r="W19" i="33"/>
  <c r="U43" i="34"/>
  <c r="AB43" i="34"/>
  <c r="AC34" i="37"/>
  <c r="S35" i="37"/>
  <c r="AA35" i="37"/>
  <c r="AB10" i="35"/>
  <c r="S32" i="21"/>
  <c r="U38" i="21"/>
  <c r="AB34"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29" i="39"/>
  <c r="AA29"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23" i="39"/>
  <c r="AA23"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C72" i="39"/>
  <c r="D70" i="39"/>
  <c r="D72" i="39"/>
  <c r="E70" i="39"/>
  <c r="E72" i="39"/>
  <c r="F70" i="39"/>
  <c r="F72" i="39"/>
  <c r="G70" i="39"/>
  <c r="G72" i="39"/>
  <c r="H70" i="39"/>
  <c r="H72" i="39"/>
  <c r="I70" i="39"/>
  <c r="I72" i="39"/>
  <c r="J70" i="39"/>
  <c r="J72" i="39"/>
  <c r="K70" i="39"/>
  <c r="K72" i="39"/>
  <c r="L70" i="39"/>
  <c r="L72" i="39"/>
  <c r="M70" i="39"/>
  <c r="M72" i="39"/>
  <c r="N70" i="39"/>
  <c r="N72" i="39"/>
  <c r="P25" i="46"/>
  <c r="B73" i="39"/>
  <c r="F9" i="39"/>
  <c r="AA9" i="39"/>
  <c r="F6" i="1"/>
  <c r="G6" i="1"/>
  <c r="G8" i="1"/>
  <c r="G9" i="1"/>
  <c r="G11" i="1"/>
  <c r="G13" i="1"/>
  <c r="G16" i="1"/>
  <c r="F12" i="39"/>
  <c r="AA12" i="39"/>
  <c r="AA21" i="39"/>
  <c r="AA44" i="39"/>
  <c r="AA46" i="39"/>
  <c r="R49" i="39"/>
  <c r="H9" i="39"/>
  <c r="AB9" i="39"/>
  <c r="H12" i="39"/>
  <c r="AB12" i="39"/>
  <c r="AB15" i="39"/>
  <c r="AB31" i="39"/>
  <c r="AB33" i="39"/>
  <c r="AB38" i="39"/>
  <c r="AB43" i="39"/>
  <c r="AB45" i="39"/>
  <c r="T49" i="39"/>
  <c r="J9" i="39"/>
  <c r="AC9" i="39"/>
  <c r="J12" i="39"/>
  <c r="AC12" i="39"/>
  <c r="AC17" i="39"/>
  <c r="AC19" i="39"/>
  <c r="AC21" i="39"/>
  <c r="J31" i="39"/>
  <c r="AC31" i="39"/>
  <c r="AC37" i="39"/>
  <c r="AC38" i="39"/>
  <c r="AC44" i="39"/>
  <c r="AC46"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C19" i="9"/>
  <c r="D19" i="12"/>
  <c r="C19" i="12"/>
  <c r="D21" i="12"/>
  <c r="C21" i="12"/>
  <c r="D22" i="12"/>
  <c r="C22" i="12"/>
  <c r="C20" i="12"/>
  <c r="C23" i="12"/>
  <c r="C24" i="12"/>
  <c r="F26" i="12"/>
  <c r="C28" i="12"/>
  <c r="C26" i="12"/>
  <c r="C29" i="12"/>
  <c r="C31" i="12"/>
  <c r="C30" i="12"/>
  <c r="F33" i="12"/>
  <c r="C35" i="12"/>
  <c r="C33" i="12"/>
  <c r="C25" i="12"/>
  <c r="C27" i="12"/>
  <c r="D26" i="12"/>
  <c r="C32" i="12"/>
  <c r="D30" i="12"/>
  <c r="C34" i="12"/>
  <c r="D33" i="12"/>
  <c r="C36" i="12"/>
  <c r="B2" i="12"/>
  <c r="D19" i="9"/>
  <c r="G19" i="9"/>
  <c r="C24" i="9"/>
  <c r="C32" i="9"/>
  <c r="C42" i="9"/>
  <c r="D63" i="9"/>
  <c r="D73" i="9"/>
  <c r="N73" i="9"/>
  <c r="AP11" i="1"/>
  <c r="B11" i="1"/>
  <c r="E11" i="1"/>
  <c r="K11" i="1"/>
  <c r="M11" i="1"/>
  <c r="B9" i="1"/>
  <c r="E9" i="1"/>
  <c r="K9" i="1"/>
  <c r="M9" i="1"/>
  <c r="B7" i="1"/>
  <c r="E7" i="1"/>
  <c r="K7" i="1"/>
  <c r="C20" i="43"/>
  <c r="AP6"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W28" i="21"/>
  <c r="AC26" i="21"/>
  <c r="F85" i="21"/>
  <c r="G85" i="21"/>
  <c r="J23" i="21"/>
  <c r="W23" i="21"/>
  <c r="F23" i="21"/>
  <c r="H23" i="21"/>
  <c r="AA17" i="21"/>
  <c r="W17" i="21"/>
  <c r="F15" i="21"/>
  <c r="S15" i="21"/>
  <c r="F77" i="21"/>
  <c r="G77" i="21"/>
  <c r="J15" i="21"/>
  <c r="H15" i="21"/>
  <c r="W13" i="21"/>
  <c r="AC23" i="21"/>
  <c r="AC21" i="21"/>
  <c r="W21" i="21"/>
  <c r="W44" i="21"/>
  <c r="AC19" i="21"/>
  <c r="W10"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W13" i="39"/>
  <c r="S11" i="39"/>
  <c r="S27" i="39"/>
  <c r="W29" i="39"/>
  <c r="S29" i="39"/>
  <c r="S14" i="39"/>
  <c r="U11" i="39"/>
  <c r="U41" i="39"/>
  <c r="U23" i="39"/>
  <c r="U31" i="39"/>
  <c r="S25" i="39"/>
  <c r="S38" i="39"/>
  <c r="S22" i="31"/>
  <c r="D18" i="9"/>
  <c r="M44" i="9"/>
  <c r="M43" i="9"/>
  <c r="B22" i="63"/>
  <c r="M20" i="15"/>
  <c r="D96" i="9"/>
  <c r="F28" i="15"/>
  <c r="M18" i="15"/>
  <c r="A18" i="64"/>
  <c r="B74" i="63"/>
  <c r="C53" i="10"/>
  <c r="A25" i="64"/>
  <c r="A18" i="51"/>
  <c r="B14" i="63"/>
  <c r="BA16" i="3"/>
  <c r="BA17" i="3"/>
  <c r="AZ17" i="3"/>
  <c r="F3" i="35"/>
  <c r="K1" i="43"/>
  <c r="K1" i="12"/>
  <c r="G1" i="44"/>
  <c r="I4" i="6"/>
  <c r="G3" i="46"/>
  <c r="AZ15" i="3"/>
  <c r="G5" i="3"/>
  <c r="B3" i="3"/>
  <c r="BK5" i="3"/>
  <c r="BO5" i="3"/>
  <c r="BP5" i="3"/>
  <c r="BN5" i="3"/>
  <c r="BL18" i="3"/>
  <c r="AZ18" i="3"/>
  <c r="BC5" i="3"/>
  <c r="E8" i="6"/>
  <c r="BD5" i="3"/>
  <c r="BR5" i="3"/>
  <c r="G28" i="6"/>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5" i="9"/>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S11" i="1"/>
  <c r="R11" i="1"/>
  <c r="S13" i="1"/>
  <c r="R13" i="1"/>
  <c r="B6" i="1"/>
  <c r="E6" i="1"/>
  <c r="B10" i="1"/>
  <c r="E10" i="1"/>
  <c r="S10" i="1"/>
  <c r="B8" i="1"/>
  <c r="E8" i="1"/>
  <c r="B12" i="1"/>
  <c r="E12" i="1"/>
  <c r="S12" i="1"/>
  <c r="K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W25" i="21"/>
  <c r="AA25" i="21"/>
  <c r="AC37" i="21"/>
  <c r="AA29" i="21"/>
  <c r="U27" i="21"/>
  <c r="W31" i="21"/>
  <c r="S27" i="21"/>
  <c r="AA15" i="21"/>
  <c r="AC27" i="21"/>
  <c r="W29" i="21"/>
  <c r="G96" i="40"/>
  <c r="J27" i="40"/>
  <c r="W37" i="40"/>
  <c r="S17" i="40"/>
  <c r="W30" i="40"/>
  <c r="S34" i="40"/>
  <c r="U17" i="40"/>
  <c r="U38" i="40"/>
  <c r="S40" i="40"/>
  <c r="S42" i="40"/>
  <c r="G105" i="39"/>
  <c r="S45" i="39"/>
  <c r="W41" i="39"/>
  <c r="S34" i="39"/>
  <c r="W42" i="39"/>
  <c r="W36" i="39"/>
  <c r="W23" i="39"/>
  <c r="U14" i="39"/>
  <c r="W16" i="39"/>
  <c r="S15" i="39"/>
  <c r="W25" i="39"/>
  <c r="W45" i="39"/>
  <c r="S41"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c r="AZ13" i="3"/>
  <c r="G29" i="6"/>
  <c r="E29" i="6"/>
  <c r="K15" i="1"/>
  <c r="AZ16" i="3"/>
  <c r="H16" i="1"/>
  <c r="A9" i="64"/>
  <c r="A9" i="51"/>
  <c r="B9" i="63"/>
  <c r="A3" i="55"/>
  <c r="B56" i="63"/>
  <c r="E4" i="4"/>
  <c r="C4" i="4"/>
  <c r="G66" i="36"/>
  <c r="J18" i="36"/>
  <c r="AE8" i="1"/>
  <c r="AE6" i="1"/>
  <c r="W18" i="36"/>
  <c r="AC18" i="36"/>
  <c r="AG6" i="1"/>
  <c r="D12" i="11"/>
  <c r="C12" i="11"/>
  <c r="L20" i="6"/>
  <c r="AZ5" i="3"/>
  <c r="E3" i="6"/>
  <c r="D16" i="43"/>
  <c r="C16" i="43"/>
  <c r="L19" i="6"/>
  <c r="L27" i="6"/>
  <c r="B21" i="55"/>
  <c r="B72" i="63"/>
  <c r="B20" i="55"/>
  <c r="B70" i="63"/>
  <c r="K20" i="6"/>
  <c r="S7" i="1"/>
  <c r="E28" i="6"/>
  <c r="K19" i="6"/>
  <c r="S6" i="1"/>
  <c r="S8" i="1"/>
  <c r="S9" i="1"/>
  <c r="E6" i="6"/>
  <c r="L38" i="9"/>
  <c r="B14" i="66"/>
  <c r="B1" i="66"/>
  <c r="C45" i="9"/>
  <c r="H14" i="66"/>
  <c r="B7" i="66"/>
  <c r="C7" i="66"/>
  <c r="R9" i="1"/>
  <c r="M20" i="6"/>
  <c r="I20" i="6"/>
  <c r="H20" i="6"/>
  <c r="D20" i="6"/>
  <c r="R20" i="6"/>
  <c r="R7" i="1"/>
  <c r="R8" i="1"/>
  <c r="M19" i="6"/>
  <c r="I19" i="6"/>
  <c r="AY6" i="3"/>
  <c r="D3" i="6"/>
  <c r="H19" i="6"/>
  <c r="D19" i="6"/>
  <c r="R19" i="6"/>
  <c r="R6" i="1"/>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D71" i="9"/>
  <c r="D66" i="9"/>
  <c r="N72" i="9"/>
  <c r="C103" i="9"/>
  <c r="C111" i="9"/>
  <c r="C104" i="9"/>
  <c r="C113" i="9"/>
  <c r="C114" i="9"/>
  <c r="C115" i="9"/>
  <c r="D76" i="9"/>
  <c r="D74" i="9"/>
  <c r="N74" i="9"/>
  <c r="D77" i="9"/>
  <c r="N75" i="9"/>
  <c r="O77" i="9"/>
  <c r="O79" i="9"/>
  <c r="C46" i="9"/>
  <c r="K33" i="9"/>
  <c r="O41" i="9"/>
  <c r="I14" i="66"/>
  <c r="B8" i="66"/>
  <c r="D46" i="9"/>
  <c r="K34" i="9"/>
  <c r="R8" i="54"/>
  <c r="B54" i="63"/>
  <c r="A25" i="51"/>
  <c r="B18" i="63"/>
  <c r="D58" i="21"/>
  <c r="E58" i="21"/>
  <c r="F58" i="21"/>
  <c r="G58" i="21"/>
  <c r="H58" i="21"/>
  <c r="I58" i="21"/>
  <c r="J58" i="21"/>
  <c r="K58" i="21"/>
  <c r="L58" i="21"/>
  <c r="M58" i="21"/>
  <c r="N58" i="21"/>
  <c r="O58" i="21"/>
  <c r="H7" i="21"/>
  <c r="J7" i="21"/>
  <c r="AC7" i="21"/>
  <c r="I48" i="21"/>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2" i="59"/>
  <c r="D11" i="59"/>
  <c r="U9" i="59"/>
  <c r="Y11" i="59"/>
  <c r="Z11" i="59"/>
  <c r="AA11" i="59"/>
  <c r="AB11" i="59"/>
  <c r="Y10" i="59"/>
  <c r="Z10" i="59"/>
  <c r="Y9" i="59"/>
  <c r="Z9" i="59"/>
  <c r="Z7" i="59"/>
  <c r="Y8" i="59"/>
  <c r="Z8" i="59"/>
  <c r="AB10" i="59"/>
  <c r="AB9" i="59"/>
  <c r="AB8" i="59"/>
  <c r="AA13" i="59"/>
  <c r="X11" i="59"/>
  <c r="X9" i="59"/>
  <c r="X8" i="59"/>
  <c r="AA9" i="59"/>
  <c r="AA8"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15" i="43"/>
  <c r="C27" i="43"/>
  <c r="C31" i="43"/>
  <c r="W7" i="21"/>
  <c r="Q16" i="1"/>
  <c r="F31" i="6"/>
  <c r="H51" i="46"/>
  <c r="X7" i="46"/>
  <c r="E17" i="46"/>
  <c r="N17" i="46"/>
  <c r="O17" i="46"/>
  <c r="M17" i="46"/>
  <c r="L17" i="46"/>
  <c r="R16" i="1"/>
  <c r="H22" i="46"/>
  <c r="Y11" i="46"/>
  <c r="Y13" i="46"/>
  <c r="H101" i="46"/>
  <c r="H102" i="46"/>
  <c r="G22" i="46"/>
  <c r="J22" i="46"/>
  <c r="F101" i="46"/>
  <c r="F106" i="46"/>
  <c r="D101" i="46"/>
  <c r="D106" i="46"/>
  <c r="D13" i="11"/>
  <c r="C13" i="11"/>
  <c r="S16" i="1"/>
  <c r="O11" i="1"/>
  <c r="P11" i="1"/>
  <c r="O13" i="1"/>
  <c r="P13" i="1"/>
  <c r="O9" i="1"/>
  <c r="P9" i="1"/>
  <c r="E14" i="6"/>
  <c r="E15" i="6"/>
  <c r="E13" i="6"/>
  <c r="E12" i="6"/>
  <c r="E10" i="6"/>
  <c r="E11" i="6"/>
  <c r="O12" i="1"/>
  <c r="P12" i="1"/>
  <c r="AP7" i="1"/>
  <c r="E52" i="37"/>
  <c r="D46" i="36"/>
  <c r="AP16" i="1"/>
  <c r="F22" i="11"/>
  <c r="E48" i="35"/>
  <c r="D59" i="34"/>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T9" i="59"/>
  <c r="B6" i="52"/>
  <c r="E7" i="52"/>
  <c r="E6" i="52"/>
  <c r="E4" i="52"/>
  <c r="B7" i="52"/>
  <c r="P21" i="46"/>
  <c r="S9" i="59"/>
  <c r="D10" i="59"/>
  <c r="P22" i="46"/>
  <c r="P23" i="46"/>
  <c r="P24" i="46"/>
  <c r="B68" i="40"/>
  <c r="E22" i="52"/>
  <c r="B22" i="52"/>
  <c r="B10" i="52"/>
  <c r="B11" i="52"/>
  <c r="B4" i="52"/>
  <c r="E9" i="52"/>
  <c r="E11" i="52"/>
  <c r="E13" i="52"/>
  <c r="B14" i="52"/>
  <c r="E8" i="52"/>
  <c r="B9" i="52"/>
  <c r="B8" i="52"/>
  <c r="B13" i="52"/>
  <c r="E10" i="52"/>
  <c r="E21" i="52"/>
  <c r="E65" i="40"/>
  <c r="D67" i="40"/>
  <c r="F7" i="21"/>
  <c r="AB7" i="21"/>
  <c r="G48" i="21"/>
  <c r="U7" i="21"/>
  <c r="V9" i="59"/>
  <c r="D9" i="59"/>
  <c r="D107" i="46"/>
  <c r="M106" i="46"/>
  <c r="M104"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5" i="39"/>
  <c r="E61" i="40"/>
  <c r="E66" i="39"/>
  <c r="E63" i="39"/>
  <c r="E58" i="40"/>
  <c r="E64" i="39"/>
  <c r="E59" i="40"/>
  <c r="E67" i="39"/>
  <c r="E62" i="40"/>
  <c r="S20" i="6"/>
  <c r="K14" i="1"/>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G52" i="21"/>
  <c r="H52" i="21"/>
  <c r="G53" i="21"/>
  <c r="H53" i="21"/>
  <c r="AA7" i="21"/>
  <c r="S7" i="21"/>
  <c r="F65" i="40"/>
  <c r="E67" i="40"/>
  <c r="D8" i="59"/>
  <c r="D7" i="59"/>
  <c r="G20" i="46"/>
  <c r="E41" i="46"/>
  <c r="C41" i="46"/>
  <c r="S5" i="46"/>
  <c r="S2" i="46"/>
  <c r="S3" i="46"/>
  <c r="S7" i="46"/>
  <c r="S6" i="46"/>
  <c r="S4" i="46"/>
  <c r="K16" i="1"/>
  <c r="M14"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F67" i="40"/>
  <c r="G65" i="40"/>
  <c r="E48" i="21"/>
  <c r="F7" i="36"/>
  <c r="S7" i="36"/>
  <c r="C20" i="46"/>
  <c r="M20" i="46"/>
  <c r="C19" i="46"/>
  <c r="R24" i="6"/>
  <c r="D16" i="6"/>
  <c r="D30" i="6"/>
  <c r="R22" i="6"/>
  <c r="R23" i="6"/>
  <c r="R25" i="6"/>
  <c r="D27" i="6"/>
  <c r="M27" i="6"/>
  <c r="D7" i="66"/>
  <c r="D6" i="66"/>
  <c r="D8" i="66"/>
  <c r="R21" i="6"/>
  <c r="A6" i="51"/>
  <c r="B7" i="63"/>
  <c r="A6" i="64"/>
  <c r="A20" i="64"/>
  <c r="A20" i="51"/>
  <c r="B15" i="63"/>
  <c r="N5" i="54"/>
  <c r="B43" i="63"/>
  <c r="T13" i="1"/>
  <c r="M16" i="1"/>
  <c r="T9" i="1"/>
  <c r="T11" i="1"/>
  <c r="T12" i="1"/>
  <c r="O14" i="1"/>
  <c r="P14" i="1"/>
  <c r="O16" i="1"/>
  <c r="T7"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C48"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I27" i="6"/>
  <c r="S19" i="6"/>
  <c r="S27" i="6"/>
  <c r="L16" i="1"/>
  <c r="C13" i="43"/>
  <c r="C17" i="43"/>
  <c r="N16" i="1"/>
  <c r="C29" i="43"/>
  <c r="W7" i="36"/>
  <c r="AC7" i="36"/>
  <c r="V36" i="36"/>
  <c r="I36" i="36"/>
  <c r="I52" i="37"/>
  <c r="G54" i="34"/>
  <c r="H54" i="34"/>
  <c r="G53" i="34"/>
  <c r="H53" i="34"/>
  <c r="R50" i="34"/>
  <c r="E49" i="34"/>
  <c r="I53" i="34"/>
  <c r="J53" i="34"/>
  <c r="I54" i="34"/>
  <c r="J54" i="34"/>
  <c r="AB7" i="36"/>
  <c r="T36" i="36"/>
  <c r="G36" i="36"/>
  <c r="U7" i="36"/>
  <c r="I48" i="35"/>
  <c r="E36" i="36"/>
  <c r="R37" i="36"/>
  <c r="H67" i="40"/>
  <c r="I65" i="40"/>
  <c r="G39" i="46"/>
  <c r="I39" i="46"/>
  <c r="E39" i="46"/>
  <c r="E38" i="46"/>
  <c r="G38" i="46"/>
  <c r="I38" i="46"/>
  <c r="E33" i="46"/>
  <c r="C26" i="46"/>
  <c r="G33" i="46"/>
  <c r="I33" i="46"/>
  <c r="G37" i="46"/>
  <c r="I37" i="46"/>
  <c r="E37" i="46"/>
  <c r="G36" i="46"/>
  <c r="I36" i="46"/>
  <c r="E36" i="46"/>
  <c r="I5" i="6"/>
  <c r="C27" i="46"/>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J65" i="40"/>
  <c r="I67" i="40"/>
  <c r="B2" i="46"/>
  <c r="D4" i="46"/>
  <c r="K48" i="35"/>
  <c r="L48" i="35"/>
  <c r="M48" i="35"/>
  <c r="N48" i="35"/>
  <c r="O48" i="35"/>
  <c r="J7" i="35"/>
  <c r="K52" i="37"/>
  <c r="B3" i="46"/>
  <c r="K65" i="40"/>
  <c r="J67" i="40"/>
  <c r="B4" i="46"/>
  <c r="AC7" i="35"/>
  <c r="V38" i="35"/>
  <c r="I38" i="35"/>
  <c r="W7" i="35"/>
  <c r="L52" i="37"/>
  <c r="F7" i="35"/>
  <c r="H7" i="35"/>
  <c r="K67" i="40"/>
  <c r="L65" i="40"/>
  <c r="AB7" i="35"/>
  <c r="T38" i="35"/>
  <c r="G38" i="35"/>
  <c r="U7" i="35"/>
  <c r="AA7" i="35"/>
  <c r="R38" i="35"/>
  <c r="S7" i="35"/>
  <c r="M52" i="37"/>
  <c r="I42" i="35"/>
  <c r="J42" i="35"/>
  <c r="M65" i="40"/>
  <c r="L67" i="40"/>
  <c r="N52" i="37"/>
  <c r="O52" i="37"/>
  <c r="F7" i="37"/>
  <c r="R39" i="35"/>
  <c r="E38" i="35"/>
  <c r="G42" i="35"/>
  <c r="H42" i="35"/>
  <c r="G43" i="35"/>
  <c r="H43" i="35"/>
  <c r="N65" i="40"/>
  <c r="N67" i="40"/>
  <c r="M67" i="40"/>
  <c r="F9" i="40"/>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 r="B3" i="39"/>
  <c r="B4" i="39"/>
  <c r="M24" i="44"/>
  <c r="L48" i="44"/>
  <c r="B14" i="67"/>
  <c r="F15" i="44"/>
  <c r="L47" i="15"/>
  <c r="F10" i="67"/>
  <c r="F8" i="67"/>
  <c r="F37" i="44"/>
  <c r="F13" i="67"/>
  <c r="F46" i="44"/>
  <c r="F18" i="44"/>
  <c r="F9" i="67"/>
  <c r="E12" i="67"/>
  <c r="F40" i="44"/>
  <c r="M23" i="44"/>
  <c r="F11" i="67"/>
  <c r="M10" i="44"/>
  <c r="F9" i="44"/>
  <c r="E14" i="67"/>
  <c r="E8" i="67"/>
  <c r="J36" i="15"/>
  <c r="C21" i="9"/>
  <c r="B3" i="12"/>
  <c r="D20" i="9"/>
  <c r="F38" i="44"/>
  <c r="E11" i="67"/>
  <c r="N7" i="65"/>
  <c r="E10" i="67"/>
  <c r="E9" i="67"/>
  <c r="N6" i="65"/>
  <c r="B4" i="12"/>
  <c r="D21" i="9"/>
  <c r="J17" i="44"/>
  <c r="M26" i="44"/>
  <c r="F8" i="44"/>
  <c r="M31" i="44"/>
  <c r="B12" i="67"/>
  <c r="J7" i="65"/>
  <c r="J6" i="65"/>
  <c r="I7" i="65"/>
  <c r="I4" i="65"/>
  <c r="I3" i="65"/>
  <c r="M26" i="15"/>
  <c r="B9" i="67"/>
  <c r="B8" i="67"/>
  <c r="C19" i="44"/>
  <c r="F39" i="44"/>
  <c r="M24" i="15"/>
  <c r="F12" i="67"/>
  <c r="M25" i="44"/>
  <c r="E13" i="67"/>
  <c r="M28" i="44"/>
  <c r="M23" i="15"/>
  <c r="F28" i="44"/>
  <c r="J15" i="15"/>
  <c r="L49" i="44"/>
  <c r="N3" i="65"/>
  <c r="M29" i="15"/>
  <c r="B13" i="67"/>
  <c r="N5" i="65"/>
  <c r="F14" i="67"/>
  <c r="C20" i="9"/>
  <c r="M11" i="44"/>
  <c r="M8" i="44"/>
  <c r="F43" i="44"/>
  <c r="M30" i="44"/>
  <c r="M21" i="15"/>
  <c r="F10" i="44"/>
  <c r="B10" i="67"/>
  <c r="F11" i="44"/>
  <c r="M22" i="15"/>
  <c r="M28" i="15"/>
  <c r="M29" i="44"/>
  <c r="F45" i="44"/>
  <c r="B11" i="67"/>
  <c r="M27" i="15"/>
  <c r="F33" i="44"/>
  <c r="I6" i="65"/>
  <c r="J5" i="65"/>
  <c r="F31" i="15"/>
  <c r="J3" i="65"/>
  <c r="J4" i="65"/>
  <c r="C16" i="44"/>
  <c r="B7" i="67"/>
  <c r="E7" i="67"/>
  <c r="C14" i="43"/>
  <c r="C18" i="43"/>
  <c r="E3" i="67"/>
  <c r="B2" i="67"/>
  <c r="C20" i="44"/>
  <c r="C17" i="44"/>
  <c r="J1" i="65"/>
  <c r="J57" i="15"/>
  <c r="J55" i="15"/>
  <c r="J58" i="15"/>
  <c r="Q51" i="15"/>
  <c r="I54" i="15"/>
  <c r="L56" i="15"/>
  <c r="F49" i="15"/>
  <c r="J20" i="15"/>
  <c r="L44" i="9"/>
  <c r="Q73" i="44"/>
  <c r="G20" i="9"/>
  <c r="F65" i="15"/>
  <c r="J54" i="44"/>
  <c r="J58" i="44"/>
  <c r="J56" i="44"/>
  <c r="J59" i="44"/>
  <c r="Q52" i="44"/>
  <c r="L57" i="44"/>
  <c r="J60" i="44"/>
  <c r="I55" i="44"/>
  <c r="J61" i="44"/>
  <c r="Q50" i="44"/>
  <c r="F62" i="15"/>
  <c r="C61" i="15"/>
  <c r="C29" i="44"/>
  <c r="F67" i="15"/>
  <c r="F50" i="15"/>
  <c r="I1" i="65"/>
  <c r="E20" i="46"/>
  <c r="C8" i="44"/>
  <c r="F70" i="15"/>
  <c r="G21" i="9"/>
  <c r="Q72" i="15"/>
  <c r="M9" i="44"/>
  <c r="F68" i="15"/>
  <c r="J22" i="44"/>
  <c r="C36" i="44"/>
  <c r="L59" i="15"/>
  <c r="L58" i="15"/>
  <c r="F64" i="15"/>
  <c r="F63" i="15"/>
  <c r="L60" i="44"/>
  <c r="L59" i="44"/>
  <c r="D22" i="9"/>
  <c r="L43" i="9"/>
  <c r="E3" i="65"/>
  <c r="F58" i="15"/>
  <c r="M17" i="15"/>
  <c r="F7" i="67"/>
  <c r="C18" i="44"/>
  <c r="M19" i="44"/>
  <c r="L47" i="44"/>
  <c r="C19" i="43"/>
  <c r="C25" i="43"/>
  <c r="C24" i="43"/>
  <c r="C21" i="44"/>
  <c r="E4" i="67"/>
  <c r="F17" i="11"/>
  <c r="C17" i="11"/>
  <c r="C19" i="11"/>
  <c r="Q75" i="44"/>
  <c r="Q62" i="44"/>
  <c r="Q75" i="15"/>
  <c r="Q62" i="15"/>
  <c r="C34" i="44"/>
  <c r="N43" i="9"/>
  <c r="G22" i="9"/>
  <c r="Q63" i="44"/>
  <c r="Q76" i="44"/>
  <c r="Q74" i="15"/>
  <c r="Q61" i="15"/>
  <c r="J18" i="15"/>
  <c r="P28" i="46"/>
  <c r="O28" i="46"/>
  <c r="M28" i="46"/>
  <c r="N28" i="46"/>
  <c r="C48" i="15"/>
  <c r="Q54" i="44"/>
  <c r="F1" i="44"/>
  <c r="J8" i="44"/>
  <c r="F13" i="44"/>
  <c r="C12" i="44"/>
  <c r="C7" i="44"/>
  <c r="M13" i="44"/>
  <c r="J12" i="44"/>
  <c r="Q53" i="15"/>
  <c r="B4" i="67"/>
  <c r="B3" i="67"/>
  <c r="J24" i="15"/>
  <c r="C40" i="44"/>
  <c r="C52" i="15"/>
  <c r="C47" i="15"/>
  <c r="J20" i="44"/>
  <c r="J7" i="44"/>
  <c r="C35" i="9"/>
  <c r="F42" i="9"/>
  <c r="O38" i="9"/>
  <c r="C33" i="9"/>
  <c r="O43" i="9"/>
  <c r="C34" i="9"/>
  <c r="C20" i="11"/>
  <c r="C21" i="11"/>
  <c r="C22" i="11"/>
  <c r="C23" i="11"/>
  <c r="B2" i="11"/>
  <c r="C22" i="44"/>
  <c r="F21" i="43"/>
  <c r="F26" i="44"/>
  <c r="C26" i="44"/>
  <c r="L52" i="44"/>
  <c r="C25" i="44"/>
  <c r="Q69" i="44"/>
  <c r="L58" i="44"/>
  <c r="L61" i="44"/>
  <c r="C59" i="15"/>
  <c r="C65" i="15"/>
  <c r="B3" i="11"/>
  <c r="B5" i="11"/>
  <c r="B4" i="11"/>
  <c r="M38" i="9"/>
  <c r="K27" i="9"/>
  <c r="E42" i="9"/>
  <c r="P5" i="54"/>
  <c r="B46" i="63"/>
  <c r="N68" i="9"/>
  <c r="R5" i="54"/>
  <c r="B48" i="63"/>
  <c r="D14" i="66"/>
  <c r="K26" i="9"/>
  <c r="K25" i="9"/>
  <c r="C23" i="43"/>
  <c r="D21" i="43"/>
  <c r="C22" i="43"/>
  <c r="C21" i="43"/>
  <c r="C28" i="44"/>
  <c r="N38" i="9"/>
  <c r="K28" i="9"/>
  <c r="D42" i="9"/>
  <c r="Q5" i="54"/>
  <c r="B47" i="63"/>
  <c r="J28" i="44"/>
  <c r="J31" i="44"/>
  <c r="J26" i="44"/>
  <c r="J14" i="15"/>
  <c r="C31" i="44"/>
  <c r="J16" i="44"/>
  <c r="Q50" i="15"/>
  <c r="C35" i="44"/>
  <c r="C33" i="44"/>
  <c r="Q51" i="44"/>
  <c r="C15" i="44"/>
  <c r="C38" i="44"/>
  <c r="B5" i="12"/>
  <c r="Q49" i="44"/>
  <c r="Q55" i="44"/>
  <c r="Q67" i="44"/>
  <c r="Q58" i="44"/>
  <c r="C28" i="43"/>
  <c r="C30" i="43"/>
  <c r="C32" i="43"/>
  <c r="B2" i="43"/>
  <c r="B5" i="66"/>
  <c r="E14" i="66"/>
  <c r="F14" i="66"/>
  <c r="Q68" i="44"/>
  <c r="Q59" i="44"/>
  <c r="C82" i="9"/>
  <c r="C81" i="9"/>
  <c r="C85" i="9"/>
  <c r="C86" i="9"/>
  <c r="D72" i="9"/>
  <c r="D70" i="9"/>
  <c r="C96" i="9"/>
  <c r="C91" i="9"/>
  <c r="C90" i="9"/>
  <c r="J21" i="44"/>
  <c r="J19" i="44"/>
  <c r="J19" i="15"/>
  <c r="J17" i="15"/>
  <c r="J59" i="15"/>
  <c r="J60" i="15"/>
  <c r="L51" i="15"/>
  <c r="L57" i="15"/>
  <c r="L60" i="15"/>
  <c r="C56" i="15"/>
  <c r="C60" i="15"/>
  <c r="C58" i="15"/>
  <c r="C97" i="9"/>
  <c r="C5" i="66"/>
  <c r="D5" i="66"/>
  <c r="Q64" i="44"/>
  <c r="Q49" i="15"/>
  <c r="C63" i="15"/>
  <c r="J13" i="15"/>
  <c r="J23" i="15"/>
  <c r="J22" i="15"/>
  <c r="B4" i="43"/>
  <c r="B3" i="43"/>
  <c r="B5" i="43"/>
  <c r="Q77" i="44"/>
  <c r="Q72" i="44"/>
  <c r="C43" i="44"/>
  <c r="C39" i="44"/>
  <c r="C32" i="44"/>
  <c r="C42" i="44"/>
  <c r="J24" i="44"/>
  <c r="J15" i="44"/>
  <c r="J25" i="44"/>
  <c r="Q71" i="15"/>
  <c r="C55" i="15"/>
  <c r="C64" i="15"/>
  <c r="J35" i="15"/>
  <c r="J18" i="44"/>
  <c r="J27" i="44"/>
  <c r="J16" i="15"/>
  <c r="J25" i="15"/>
  <c r="C57" i="15"/>
  <c r="C66" i="15"/>
  <c r="C67" i="15"/>
  <c r="Q70" i="15"/>
  <c r="Q69" i="15"/>
  <c r="Q71" i="44"/>
  <c r="Q70" i="44"/>
  <c r="C44" i="44"/>
  <c r="C45" i="44"/>
  <c r="B2" i="44"/>
  <c r="C98" i="9"/>
  <c r="C99" i="9"/>
  <c r="E98" i="9"/>
  <c r="E99" i="9"/>
  <c r="J39" i="15"/>
  <c r="J40" i="15"/>
  <c r="C70" i="15"/>
  <c r="E114" i="9"/>
  <c r="E115" i="9"/>
  <c r="Q68" i="15"/>
  <c r="Q48" i="15"/>
  <c r="Q54" i="15"/>
  <c r="Q57" i="15"/>
  <c r="C43" i="15"/>
  <c r="Q66" i="15"/>
  <c r="J42" i="15"/>
  <c r="J43" i="15"/>
  <c r="Q77" i="9"/>
  <c r="O78" i="9"/>
  <c r="C46" i="15"/>
  <c r="B5" i="44"/>
  <c r="B3" i="44"/>
  <c r="B4" i="44"/>
  <c r="O81" i="9"/>
  <c r="O80" i="9"/>
  <c r="Q67" i="15"/>
  <c r="Q58" i="15"/>
  <c r="Q63" i="15"/>
  <c r="Q76" i="15"/>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<sst xmlns="http://schemas.openxmlformats.org/spreadsheetml/2006/main" count="7089" uniqueCount="3128">
  <si>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</si>
  <si>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</si>
  <si>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</si>
  <si>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</si>
  <si>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</si>
  <si>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</si>
  <si>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</si>
  <si>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</si>
  <si>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</si>
  <si>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</si>
  <si>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</si>
  <si>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</si>
  <si>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</si>
  <si>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</si>
  <si>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</si>
  <si>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</si>
  <si>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</si>
  <si>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</si>
  <si>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</si>
  <si>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</si>
  <si>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</si>
  <si>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</si>
  <si>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</si>
  <si>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</si>
  <si>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</si>
  <si>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</si>
  <si>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</si>
  <si>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</si>
  <si>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</si>
  <si>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</si>
  <si>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</si>
  <si>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</si>
  <si>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</si>
  <si>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</si>
  <si>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</si>
  <si>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</si>
  <si>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</si>
  <si>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</si>
  <si>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</si>
  <si>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</si>
  <si>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</si>
  <si>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</si>
  <si>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</si>
  <si>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</si>
  <si>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</si>
  <si>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</si>
  <si>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</si>
  <si>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</si>
  <si>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</si>
  <si>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</si>
  <si>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</si>
  <si>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</si>
  <si>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</si>
  <si>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</si>
  <si>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</si>
  <si>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</si>
  <si>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</si>
  <si>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</si>
  <si>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</si>
  <si>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</si>
  <si>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</si>
  <si>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</si>
  <si>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</si>
  <si>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</si>
  <si>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</si>
  <si>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</si>
  <si>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</si>
  <si>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</si>
  <si>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</si>
  <si>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</si>
  <si>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</si>
  <si>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</si>
  <si>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</si>
  <si>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</si>
  <si>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</si>
  <si>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</si>
  <si>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</si>
  <si>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</si>
  <si>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</si>
  <si>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</si>
  <si>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</si>
  <si>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</si>
  <si>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</si>
  <si>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</si>
  <si>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</si>
  <si>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</si>
  <si>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</si>
  <si>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</si>
  <si>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</si>
  <si>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</si>
  <si>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</si>
  <si>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</si>
  <si>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</si>
  <si>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</si>
  <si>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</si>
  <si>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</si>
  <si>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</si>
  <si>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</si>
  <si>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</si>
  <si>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</si>
  <si>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</si>
  <si>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</si>
  <si>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</si>
  <si>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</si>
  <si>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</si>
  <si>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</si>
  <si>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</si>
  <si>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</si>
  <si>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</si>
  <si>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</si>
  <si>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</si>
  <si>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</si>
  <si>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</si>
  <si>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</si>
  <si>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</si>
  <si>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</si>
  <si>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</si>
  <si>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</si>
  <si>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</si>
  <si>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</si>
  <si>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</si>
  <si>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</si>
  <si>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</si>
  <si>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</si>
  <si>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</si>
  <si>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</si>
  <si>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</si>
  <si>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</si>
  <si>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</si>
  <si>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</si>
  <si>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</si>
  <si>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</si>
  <si>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</si>
  <si>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</si>
  <si>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</si>
  <si>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</si>
  <si>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</si>
  <si>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</si>
  <si>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</si>
  <si>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</si>
  <si>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</si>
  <si>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</si>
  <si>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</si>
  <si>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</si>
  <si>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</si>
  <si>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</si>
  <si>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</si>
  <si>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</si>
  <si>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</si>
  <si>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</si>
  <si>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</si>
  <si>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</si>
  <si>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</si>
  <si>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</si>
  <si>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</si>
  <si>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</si>
  <si>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</si>
  <si>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</si>
  <si>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</si>
  <si>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</si>
  <si>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</si>
  <si>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</si>
  <si>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</si>
  <si>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</si>
  <si>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</si>
  <si>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</si>
  <si>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</si>
  <si>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</si>
  <si>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</si>
  <si>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</si>
  <si>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</si>
  <si>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</si>
  <si>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</si>
  <si>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</si>
  <si>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</si>
  <si>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</si>
  <si>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</si>
  <si>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</si>
  <si>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</si>
  <si>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</si>
  <si>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</si>
  <si>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</si>
  <si>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</si>
  <si>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</si>
  <si>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</si>
  <si>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</si>
  <si>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</si>
  <si>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</si>
  <si>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</si>
  <si>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</si>
  <si>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</si>
  <si>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</si>
  <si>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</si>
  <si>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</si>
  <si>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</si>
  <si>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</si>
  <si>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</si>
  <si>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</si>
  <si>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</si>
  <si>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</si>
  <si>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</si>
  <si>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</si>
  <si>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</si>
  <si>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</si>
  <si>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</si>
  <si>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</si>
  <si>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</si>
  <si>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</si>
  <si>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</si>
  <si>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</si>
  <si>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</si>
  <si>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</si>
  <si>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</si>
  <si>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</si>
  <si>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</si>
  <si>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</si>
  <si>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</si>
  <si>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</si>
  <si>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</si>
  <si>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</si>
  <si>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</si>
  <si>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</si>
  <si>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</si>
  <si>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</si>
  <si>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</si>
  <si>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</si>
  <si>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</si>
  <si>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</si>
  <si>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</si>
  <si>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</si>
  <si>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</si>
  <si>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</si>
  <si>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</si>
  <si>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</si>
  <si>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</si>
  <si>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</si>
  <si>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</si>
  <si>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</si>
  <si>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</si>
  <si>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</si>
  <si>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</si>
  <si>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</si>
  <si>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</si>
  <si>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</si>
  <si>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</si>
  <si>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</si>
  <si>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</si>
  <si>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</si>
  <si>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</si>
  <si>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</si>
  <si>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</si>
  <si>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</si>
  <si>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</si>
  <si>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</si>
  <si>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</si>
  <si>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</si>
  <si>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</si>
  <si>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</si>
  <si>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</si>
  <si>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</si>
  <si>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</si>
  <si>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</si>
  <si>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</si>
  <si>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</si>
  <si>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</si>
  <si>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</si>
  <si>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</si>
  <si>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</si>
  <si>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</si>
  <si>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</si>
  <si>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</si>
  <si>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</si>
  <si>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</si>
  <si>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</si>
  <si>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</si>
  <si>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</si>
  <si>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</si>
  <si>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</si>
  <si>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</si>
  <si>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</si>
  <si>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</si>
  <si>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</si>
  <si>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</si>
  <si>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</si>
  <si>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</si>
  <si>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</si>
  <si>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</si>
  <si>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</si>
  <si>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</si>
  <si>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</si>
  <si>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</si>
  <si>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</si>
  <si>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</si>
  <si>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</si>
  <si>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</si>
  <si>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</si>
  <si>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</si>
  <si>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</si>
  <si>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</si>
  <si>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</si>
  <si>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</si>
  <si>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</si>
  <si>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</si>
  <si>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</si>
  <si>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</si>
  <si>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</si>
  <si>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</si>
  <si>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</si>
  <si>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</si>
  <si>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</si>
  <si>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</si>
  <si>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</si>
  <si>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</si>
  <si>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</si>
  <si>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</si>
  <si>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</si>
  <si>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</si>
  <si>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</si>
  <si>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</si>
  <si>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</si>
  <si>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</si>
  <si>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</si>
  <si>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</si>
  <si>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</si>
  <si>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</si>
  <si>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</si>
  <si>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</si>
  <si>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</si>
  <si>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</si>
  <si>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</si>
  <si>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</si>
  <si>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</si>
  <si>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</si>
  <si>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</si>
  <si>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</si>
  <si>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</si>
  <si>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</si>
  <si>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</si>
  <si>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</si>
  <si>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</si>
  <si>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</si>
  <si>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</si>
  <si>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</si>
  <si>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</si>
  <si>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</si>
  <si>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</si>
  <si>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</si>
  <si>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</si>
  <si>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</si>
  <si>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</si>
  <si>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</si>
  <si>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</si>
  <si>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</si>
  <si>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</si>
  <si>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</si>
  <si>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</si>
  <si>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</si>
  <si>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</si>
  <si>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</si>
  <si>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</si>
  <si>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</si>
  <si>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</si>
  <si>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</si>
  <si>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</si>
  <si>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</si>
  <si>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</si>
  <si>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</si>
  <si>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</si>
  <si>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</si>
  <si>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</si>
  <si>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</si>
  <si>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</si>
  <si>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</si>
  <si>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</si>
  <si>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</si>
  <si>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</si>
  <si>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</si>
  <si>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</si>
  <si>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</si>
  <si>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</si>
  <si>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</si>
  <si>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</si>
  <si>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</si>
  <si>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</si>
  <si>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</si>
  <si>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</si>
  <si>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</si>
  <si>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</si>
  <si>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</si>
  <si>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</si>
  <si>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</si>
  <si>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</si>
  <si>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</si>
  <si>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</si>
  <si>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</si>
  <si>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</si>
  <si>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</si>
  <si>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</si>
  <si>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</si>
  <si>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</si>
  <si>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</si>
  <si>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</si>
  <si>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</si>
  <si>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</si>
  <si>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</si>
  <si>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</si>
  <si>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</si>
  <si>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</si>
  <si>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</si>
  <si>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</si>
  <si>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</si>
  <si>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</si>
  <si>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</si>
  <si>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</si>
  <si>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</si>
  <si>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</si>
  <si>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</si>
  <si>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</si>
  <si>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</si>
  <si>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</si>
  <si>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</si>
  <si>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</si>
  <si>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</si>
  <si>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</si>
  <si>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</si>
  <si>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</si>
  <si>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</si>
  <si>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</si>
  <si>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</si>
  <si>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</si>
  <si>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</si>
  <si>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</si>
  <si>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</si>
  <si>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</si>
  <si>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</si>
  <si>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</si>
  <si>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</si>
  <si>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</si>
  <si>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</si>
  <si>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</si>
  <si>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</si>
  <si>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</si>
  <si>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</si>
  <si>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</si>
  <si>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</si>
  <si>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</si>
  <si>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</si>
  <si>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</si>
  <si>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</si>
  <si>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</si>
  <si>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</si>
  <si>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</si>
  <si>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</si>
  <si>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</si>
  <si>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</si>
  <si>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</si>
  <si>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</si>
  <si>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</si>
  <si>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</si>
  <si>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</si>
  <si>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</si>
  <si>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</si>
  <si>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</si>
  <si>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</si>
  <si>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</si>
  <si>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</si>
  <si>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</si>
  <si>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</si>
  <si>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</si>
  <si>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</si>
  <si>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</si>
  <si>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</si>
  <si>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</si>
  <si>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</si>
  <si>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</si>
  <si>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</si>
  <si>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</si>
  <si>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</si>
  <si>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</si>
  <si>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</si>
  <si>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</si>
  <si>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</si>
  <si>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</si>
  <si>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</si>
  <si>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</si>
  <si>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</si>
  <si>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</si>
  <si>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</si>
  <si>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</si>
  <si>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</si>
  <si>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</si>
  <si>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</si>
  <si>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</si>
  <si>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</si>
  <si>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</si>
  <si>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</si>
  <si>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</si>
  <si>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</si>
  <si>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</si>
  <si>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</si>
  <si>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</si>
  <si>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</si>
  <si>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</si>
  <si>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</si>
  <si>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</si>
  <si>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</si>
  <si>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</si>
  <si>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</si>
  <si>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</si>
  <si>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</si>
  <si>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</si>
  <si>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</si>
  <si>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</si>
  <si>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</si>
  <si>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</si>
  <si>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</si>
  <si>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</si>
  <si>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</si>
  <si>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</si>
  <si>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</si>
  <si>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</si>
  <si>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</si>
  <si>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</si>
  <si>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</si>
  <si>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</si>
  <si>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</si>
  <si>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</si>
  <si>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</si>
  <si>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</si>
  <si>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</si>
  <si>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</si>
  <si>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</si>
  <si>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</si>
  <si>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</si>
  <si>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</si>
  <si>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</si>
  <si>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</si>
  <si>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</si>
  <si>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</si>
  <si>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</si>
  <si>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</si>
  <si>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</si>
  <si>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</si>
  <si>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</si>
  <si>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</si>
  <si>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</si>
  <si>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</si>
  <si>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</si>
  <si>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</si>
  <si>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</si>
  <si>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</si>
  <si>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</si>
  <si>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</si>
  <si>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</si>
  <si>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</si>
  <si>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</si>
  <si>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</si>
  <si>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</si>
  <si>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</si>
  <si>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</si>
  <si>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</si>
  <si>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</si>
  <si>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</si>
  <si>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</si>
  <si>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</si>
  <si>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</si>
  <si>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</si>
  <si>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</si>
  <si>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</si>
  <si>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</si>
  <si>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</si>
  <si>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</si>
  <si>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</si>
  <si>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</si>
  <si>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</si>
  <si>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</si>
  <si>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</si>
  <si>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</si>
  <si>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</si>
  <si>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</si>
  <si>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</si>
  <si>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</si>
  <si>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</si>
  <si>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</si>
  <si>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</si>
  <si>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</si>
  <si>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</si>
  <si>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</si>
  <si>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</si>
  <si>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</si>
  <si>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</si>
  <si>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</si>
  <si>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</si>
  <si>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</si>
  <si>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</si>
  <si>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</si>
  <si>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</si>
  <si>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</si>
  <si>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</si>
  <si>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</si>
  <si>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</si>
  <si>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</si>
  <si>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</si>
  <si>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</si>
  <si>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</si>
  <si>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</si>
  <si>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</si>
  <si>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</si>
  <si>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</si>
  <si>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</si>
  <si>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</si>
  <si>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</si>
  <si>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</si>
  <si>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</si>
  <si>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</si>
  <si>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</si>
  <si>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</si>
  <si>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</si>
  <si>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</si>
  <si>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</si>
  <si>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</si>
  <si>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</si>
  <si>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</si>
  <si>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</si>
  <si>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</si>
  <si>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</si>
  <si>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</si>
  <si>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</si>
  <si>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</si>
  <si>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</si>
  <si>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</si>
  <si>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</si>
  <si>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</si>
  <si>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</si>
  <si>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</si>
  <si>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</si>
  <si>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</si>
  <si>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</si>
  <si>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</si>
  <si>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</si>
  <si>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</si>
  <si>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</si>
  <si>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</si>
  <si>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</si>
  <si>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</si>
  <si>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</si>
  <si>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</si>
  <si>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</si>
  <si>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</si>
  <si>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</si>
  <si>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</si>
  <si>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</si>
  <si>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</si>
  <si>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</si>
  <si>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</si>
  <si>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</si>
  <si>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</si>
  <si>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</si>
  <si>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</si>
  <si>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</si>
  <si>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</si>
  <si>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</si>
  <si>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</si>
  <si>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</si>
  <si>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</si>
  <si>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</si>
  <si>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</si>
  <si>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</si>
  <si>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</si>
  <si>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</si>
  <si>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</si>
  <si>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</si>
  <si>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</si>
  <si>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</si>
  <si>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</si>
  <si>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</si>
  <si>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</si>
  <si>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</si>
  <si>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</si>
  <si>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</si>
  <si>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</si>
  <si>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</si>
  <si>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</si>
  <si>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</si>
  <si>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</si>
  <si>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</si>
  <si>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</si>
  <si>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</si>
  <si>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</si>
  <si>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</si>
  <si>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</si>
  <si>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</si>
  <si>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</si>
  <si>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</si>
  <si>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</si>
  <si>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</si>
  <si>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</si>
  <si>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</si>
  <si>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</si>
  <si>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</si>
  <si>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</si>
  <si>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</si>
  <si>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</si>
  <si>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</si>
  <si>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</si>
  <si>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</si>
  <si>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</si>
  <si>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</si>
  <si>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</si>
  <si>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</si>
  <si>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</si>
  <si>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</si>
  <si>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</si>
  <si>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</si>
  <si>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</si>
  <si>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</si>
  <si>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</si>
  <si>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</si>
  <si>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</si>
  <si>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</si>
  <si>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</si>
  <si>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</si>
  <si>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</si>
  <si>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</si>
  <si>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</si>
  <si>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</si>
  <si>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</si>
  <si>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</si>
  <si>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</si>
  <si>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</si>
  <si>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</si>
  <si>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</si>
  <si>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</si>
  <si>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</si>
  <si>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</si>
  <si>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</si>
  <si>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</si>
  <si>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</si>
  <si>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</si>
  <si>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</si>
  <si>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</si>
  <si>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</si>
  <si>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</si>
  <si>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</si>
  <si>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</si>
  <si>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</si>
  <si>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</si>
  <si>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</si>
  <si>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</si>
  <si>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</si>
  <si>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</si>
  <si>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</si>
  <si>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</si>
  <si>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</si>
  <si>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</si>
  <si>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</si>
  <si>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</si>
  <si>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</si>
  <si>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</si>
  <si>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</si>
  <si>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</si>
  <si>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</si>
  <si>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</si>
  <si>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</si>
  <si>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</si>
  <si>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</si>
  <si>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</si>
  <si>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</si>
  <si>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</si>
  <si>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</si>
  <si>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</si>
  <si>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</si>
  <si>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</si>
  <si>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</si>
  <si>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</si>
  <si>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</si>
  <si>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</si>
  <si>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</si>
  <si>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</si>
  <si>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</si>
  <si>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</si>
  <si>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</si>
  <si>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</si>
  <si>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</si>
  <si>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</si>
  <si>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</si>
  <si>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</si>
  <si>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</si>
  <si>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</si>
  <si>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</si>
  <si>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</si>
  <si>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</si>
  <si>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</si>
  <si>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</si>
  <si>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</si>
  <si>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</si>
  <si>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</si>
  <si>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</si>
  <si>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</si>
  <si>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</si>
  <si>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</si>
  <si>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</si>
  <si>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</si>
  <si>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</si>
  <si>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</si>
  <si>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</si>
  <si>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</si>
  <si>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</si>
  <si>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</si>
  <si>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</si>
  <si>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</si>
  <si>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</si>
  <si>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</si>
  <si>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</si>
  <si>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</si>
  <si>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</si>
  <si>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</si>
  <si>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</si>
  <si>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</si>
  <si>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</si>
  <si>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</si>
  <si>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</si>
  <si>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</si>
  <si>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</si>
  <si>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</si>
  <si>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</si>
  <si>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</si>
  <si>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</si>
  <si>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</si>
  <si>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</si>
  <si>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</si>
  <si>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</si>
  <si>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</si>
  <si>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</si>
  <si>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</si>
  <si>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</si>
  <si>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</si>
  <si>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</si>
  <si>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</si>
  <si>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</si>
  <si>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</si>
  <si>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</si>
  <si>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</si>
  <si>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</si>
  <si>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</si>
  <si>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</si>
  <si>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</si>
  <si>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</si>
  <si>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</si>
  <si>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</si>
  <si>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</si>
  <si>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</si>
  <si>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</si>
  <si>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</si>
  <si>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</si>
  <si>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</si>
  <si>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</si>
  <si>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</si>
  <si>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</si>
  <si>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</si>
  <si>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</si>
  <si>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</si>
  <si>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</si>
  <si>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</si>
  <si>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</si>
  <si>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</si>
  <si>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</si>
  <si>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</si>
  <si>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</si>
  <si>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</si>
  <si>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</si>
  <si>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</si>
  <si>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</si>
  <si>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</si>
  <si>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</si>
  <si>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</si>
  <si>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</si>
  <si>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</si>
  <si>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</si>
  <si>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</si>
  <si>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</si>
  <si>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</si>
  <si>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</si>
  <si>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</si>
  <si>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</si>
  <si>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</si>
  <si>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</si>
  <si>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</si>
  <si>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</si>
  <si>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</si>
  <si>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</si>
  <si>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</si>
  <si>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</si>
  <si>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</si>
  <si>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</si>
  <si>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</si>
  <si>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</si>
  <si>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</si>
  <si>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</si>
  <si>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</si>
  <si>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</si>
  <si>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</si>
  <si>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</si>
  <si>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</si>
  <si>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</si>
  <si>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</si>
  <si>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</si>
  <si>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</si>
  <si>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</si>
  <si>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</si>
  <si>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</si>
  <si>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</si>
  <si>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</si>
  <si>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</si>
  <si>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</si>
  <si>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</si>
  <si>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</si>
  <si>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</si>
  <si>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</si>
  <si>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</si>
  <si>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</si>
  <si>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</si>
  <si>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</si>
  <si>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</si>
  <si>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</si>
  <si>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</si>
  <si>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</si>
  <si>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</si>
  <si>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</si>
  <si>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</si>
  <si>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</si>
  <si>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</si>
  <si>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</si>
  <si>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</si>
  <si>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</si>
  <si>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</si>
  <si>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</si>
  <si>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</si>
  <si>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</si>
  <si>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</si>
  <si>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</si>
  <si>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</si>
  <si>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</si>
  <si>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</si>
  <si>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</si>
  <si>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</si>
  <si>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</si>
  <si>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</si>
  <si>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</si>
  <si>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</si>
  <si>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</si>
  <si>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</si>
  <si>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</si>
  <si>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</si>
  <si>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</si>
  <si>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</si>
  <si>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</si>
  <si>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</si>
  <si>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</si>
  <si>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</si>
  <si>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</si>
  <si>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</si>
  <si>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</si>
  <si>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</si>
  <si>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</si>
  <si>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</si>
  <si>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</si>
  <si>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</si>
  <si>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</si>
  <si>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</si>
  <si>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</si>
  <si>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</si>
  <si>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</si>
  <si>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</si>
  <si>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</si>
  <si>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</si>
  <si>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</si>
  <si>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</si>
  <si>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</si>
  <si>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</si>
  <si>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</si>
  <si>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</si>
  <si>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</si>
  <si>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</si>
  <si>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</si>
  <si>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</si>
  <si>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</si>
  <si>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</si>
  <si>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</si>
  <si>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</si>
  <si>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</si>
  <si>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</si>
  <si>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</si>
  <si>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</si>
  <si>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</si>
  <si>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</si>
  <si>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</si>
  <si>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</si>
  <si>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</si>
  <si>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</si>
  <si>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</si>
  <si>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</si>
  <si>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</si>
  <si>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</si>
  <si>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</si>
  <si>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</si>
  <si>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</si>
  <si>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</si>
  <si>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</si>
  <si>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</si>
  <si>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</si>
  <si>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</si>
  <si>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</si>
  <si>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</si>
  <si>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</si>
  <si>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</si>
  <si>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</si>
  <si>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</si>
  <si>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</si>
  <si>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</si>
  <si>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</si>
  <si>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</si>
  <si>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</si>
  <si>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</si>
  <si>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</si>
  <si>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</si>
  <si>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</si>
  <si>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</si>
  <si>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</si>
  <si>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</si>
  <si>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</si>
  <si>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</si>
  <si>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</si>
  <si>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</si>
  <si>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</si>
  <si>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</si>
  <si>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</si>
  <si>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</si>
  <si>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</si>
  <si>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</si>
  <si>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</si>
  <si>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</si>
  <si>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</si>
  <si>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</si>
  <si>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</si>
  <si>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</si>
  <si>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</si>
  <si>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</si>
  <si>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</si>
  <si>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</si>
  <si>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</si>
  <si>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</si>
  <si>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</si>
  <si>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</si>
  <si>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</si>
  <si>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</si>
  <si>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</si>
  <si>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</si>
  <si>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</si>
  <si>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</si>
  <si>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</si>
  <si>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</si>
  <si>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</si>
  <si>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</si>
  <si>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</si>
  <si>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</si>
  <si>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</si>
  <si>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</si>
  <si>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</si>
  <si>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</si>
  <si>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</si>
  <si>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</si>
  <si>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</si>
  <si>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</si>
  <si>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</si>
  <si>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</si>
  <si>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</si>
  <si>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</si>
  <si>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</si>
  <si>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</si>
  <si>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</si>
  <si>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</si>
  <si>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</si>
  <si>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</si>
  <si>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</si>
  <si>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</si>
  <si>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</si>
  <si>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</si>
  <si>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</si>
  <si>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</si>
  <si>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</si>
  <si>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</si>
  <si>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</si>
  <si>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</si>
  <si>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</si>
  <si>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</si>
  <si>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</si>
  <si>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</si>
  <si>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</si>
  <si>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</si>
  <si>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</si>
  <si>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</si>
  <si>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</si>
  <si>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</si>
  <si>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</si>
  <si>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</si>
  <si>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</si>
  <si>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</si>
  <si>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</si>
  <si>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</si>
  <si>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</si>
  <si>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</si>
  <si>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</si>
  <si>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</si>
  <si>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</si>
  <si>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</si>
  <si>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</si>
  <si>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</si>
  <si>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</si>
  <si>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</si>
  <si>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</si>
  <si>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</si>
  <si>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</si>
  <si>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</si>
  <si>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</si>
  <si>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</si>
  <si>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</si>
  <si>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</si>
  <si>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</si>
  <si>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</si>
  <si>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</si>
  <si>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</si>
  <si>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</si>
  <si>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</si>
  <si>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</si>
  <si>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</si>
  <si>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</si>
  <si>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</si>
  <si>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</si>
  <si>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</si>
  <si>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</si>
  <si>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</si>
  <si>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</si>
  <si>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</si>
  <si>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</si>
  <si>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</si>
  <si>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</si>
  <si>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</si>
  <si>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</si>
  <si>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</si>
  <si>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</si>
  <si>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</si>
  <si>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</si>
  <si>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</si>
  <si>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</si>
  <si>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</si>
  <si>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</si>
  <si>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</si>
  <si>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</si>
  <si>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</si>
  <si>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</si>
  <si>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</si>
  <si>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</si>
  <si>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</si>
  <si>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</si>
  <si>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</si>
  <si>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</si>
  <si>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</si>
  <si>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</si>
  <si>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</si>
  <si>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</si>
  <si>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</si>
  <si>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</si>
  <si>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</si>
  <si>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</si>
  <si>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</si>
  <si>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</si>
  <si>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</si>
  <si>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</si>
  <si>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</si>
  <si>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</si>
  <si>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</si>
  <si>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</si>
  <si>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</si>
  <si>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</si>
  <si>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</si>
  <si>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</si>
  <si>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</si>
  <si>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</si>
  <si>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</si>
  <si>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</si>
  <si>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</si>
  <si>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</si>
  <si>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</si>
  <si>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</si>
  <si>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</si>
  <si>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</si>
  <si>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</si>
  <si>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</si>
  <si>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</si>
  <si>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</si>
  <si>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</si>
  <si>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</si>
  <si>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</si>
  <si>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</si>
  <si>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</si>
  <si>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</si>
  <si>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</si>
  <si>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</si>
  <si>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</si>
  <si>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</si>
  <si>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</si>
  <si>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</si>
  <si>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</si>
  <si>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</si>
  <si>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</si>
  <si>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</si>
  <si>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</si>
  <si>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</si>
  <si>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</si>
  <si>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</si>
  <si>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</si>
  <si>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</si>
  <si>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</si>
  <si>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</si>
  <si>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</si>
  <si>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</si>
  <si>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</si>
  <si>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</si>
  <si>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</si>
  <si>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</si>
  <si>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</si>
  <si>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</si>
  <si>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</si>
  <si>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</si>
  <si>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</si>
  <si>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</si>
  <si>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</si>
  <si>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</si>
  <si>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</si>
  <si>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</si>
  <si>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</si>
  <si>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</si>
  <si>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</si>
  <si>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</si>
  <si>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</si>
  <si>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</si>
  <si>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</si>
  <si>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</si>
  <si>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</si>
  <si>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</si>
  <si>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</si>
  <si>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</si>
  <si>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</si>
  <si>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</si>
  <si>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</si>
  <si>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</si>
  <si>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</si>
  <si>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</si>
  <si>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</si>
  <si>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</si>
  <si>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</si>
  <si>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</si>
  <si>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</si>
  <si>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</si>
  <si>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</si>
  <si>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</si>
  <si>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</si>
  <si>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</si>
  <si>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</si>
  <si>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</si>
  <si>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</si>
  <si>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</si>
  <si>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</si>
  <si>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</si>
  <si>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</si>
  <si>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</si>
  <si>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</si>
  <si>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</si>
  <si>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</si>
  <si>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</si>
  <si>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</si>
  <si>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</si>
  <si>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</si>
  <si>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</si>
  <si>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</si>
  <si>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</si>
  <si>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</si>
  <si>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</si>
  <si>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</si>
  <si>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</si>
  <si>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</si>
  <si>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</si>
  <si>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</si>
  <si>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</si>
  <si>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</si>
  <si>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</si>
  <si>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</si>
  <si>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</si>
  <si>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</si>
  <si>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</si>
  <si>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</si>
  <si>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</si>
  <si>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</si>
  <si>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</si>
  <si>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</si>
  <si>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</si>
  <si>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</si>
  <si>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</si>
  <si>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</si>
  <si>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</si>
  <si>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</si>
  <si>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</si>
  <si>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</si>
  <si>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</si>
  <si>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</si>
  <si>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</si>
  <si>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</si>
  <si>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</si>
  <si>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</si>
  <si>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</si>
  <si>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</si>
  <si>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</si>
  <si>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</si>
  <si>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</si>
  <si>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</si>
  <si>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</si>
  <si>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</si>
  <si>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</si>
  <si>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</si>
  <si>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</si>
  <si>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</si>
  <si>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</si>
  <si>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</si>
  <si>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</si>
  <si>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</si>
  <si>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</si>
  <si>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</si>
  <si>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</si>
  <si>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</si>
  <si>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</si>
  <si>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</si>
  <si>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</si>
  <si>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</si>
  <si>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</si>
  <si>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</si>
  <si>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</si>
  <si>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</si>
  <si>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</si>
  <si>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</si>
  <si>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</si>
  <si>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</si>
  <si>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</si>
  <si>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</si>
  <si>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</si>
  <si>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</si>
  <si>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</si>
  <si>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</si>
  <si>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</si>
  <si>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</si>
  <si>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</si>
  <si>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</si>
  <si>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</si>
  <si>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</si>
  <si>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</si>
  <si>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</si>
  <si>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</si>
  <si>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</si>
  <si>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</si>
  <si>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</si>
  <si>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</si>
  <si>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</si>
  <si>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</si>
  <si>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</si>
  <si>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</si>
  <si>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</si>
  <si>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</si>
  <si>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</si>
  <si>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</si>
  <si>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</si>
  <si>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</si>
  <si>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</si>
  <si>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</si>
  <si>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</si>
  <si>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</si>
  <si>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</si>
  <si>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</si>
  <si>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</si>
  <si>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</si>
  <si>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</si>
  <si>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</si>
  <si>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</si>
  <si>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</si>
  <si>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</si>
  <si>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</si>
  <si>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</si>
  <si>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</si>
  <si>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</si>
  <si>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</si>
  <si>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</si>
  <si>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</si>
  <si>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</si>
  <si>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</si>
  <si>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</si>
  <si>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</si>
  <si>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</si>
  <si>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</si>
  <si>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</si>
  <si>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</si>
  <si>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</si>
  <si>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</si>
  <si>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</si>
  <si>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</si>
  <si>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</si>
  <si>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</si>
  <si>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</si>
  <si>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</si>
  <si>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</si>
  <si>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</si>
  <si>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</si>
  <si>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</si>
  <si>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</si>
  <si>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</si>
  <si>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</si>
  <si>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</si>
  <si>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</si>
  <si>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</si>
  <si>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</si>
  <si>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</si>
  <si>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</si>
  <si>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</si>
  <si>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</si>
  <si>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</si>
  <si>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</si>
  <si>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</si>
  <si>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</si>
  <si>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</si>
  <si>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</si>
  <si>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</si>
  <si>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</si>
  <si>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</si>
  <si>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</si>
  <si>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</si>
  <si>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</si>
  <si>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</si>
  <si>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</si>
  <si>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</si>
  <si>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</si>
  <si>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</si>
  <si>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</si>
  <si>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</si>
  <si>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</si>
  <si>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</si>
  <si>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</si>
  <si>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</si>
  <si>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</si>
  <si>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</si>
  <si>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</si>
  <si>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</si>
  <si>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</si>
  <si>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</si>
  <si>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</si>
  <si>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</si>
  <si>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</si>
  <si>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</si>
  <si>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</si>
  <si>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</si>
  <si>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</si>
  <si>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</si>
  <si>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</si>
  <si>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</si>
  <si>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</si>
  <si>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</si>
  <si>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</si>
  <si>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</si>
  <si>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</si>
  <si>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</si>
  <si>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</si>
  <si>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</si>
  <si>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</si>
  <si>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</si>
  <si>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</si>
  <si>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</si>
  <si>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</si>
  <si>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</si>
  <si>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</si>
  <si>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</si>
  <si>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</si>
  <si>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</si>
  <si>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</si>
  <si>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</si>
  <si>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</si>
  <si>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</si>
  <si>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</si>
  <si>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</si>
  <si>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</si>
  <si>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</si>
  <si>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</si>
  <si>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</si>
  <si>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</si>
  <si>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</si>
  <si>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</si>
  <si>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</si>
  <si>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</si>
  <si>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</si>
  <si>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</si>
  <si>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</si>
  <si>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</si>
  <si>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</si>
  <si>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</si>
  <si>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</si>
  <si>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</si>
  <si>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</si>
  <si>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</si>
  <si>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</si>
  <si>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</si>
  <si>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</si>
  <si>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</si>
  <si>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</si>
  <si>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</si>
  <si>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</si>
  <si>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</si>
  <si>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</si>
  <si>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</si>
  <si>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</si>
  <si>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</si>
  <si>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</si>
  <si>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</si>
  <si>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</si>
  <si>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</si>
  <si>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</si>
  <si>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</si>
  <si>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</si>
  <si>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</si>
  <si>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</si>
  <si>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</si>
  <si>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</si>
  <si>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</si>
  <si>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</si>
  <si>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</si>
  <si>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</si>
  <si>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</si>
  <si>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</si>
  <si>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</si>
  <si>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</si>
  <si>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</si>
  <si>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</si>
  <si>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</si>
  <si>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</si>
  <si>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</si>
  <si>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</si>
  <si>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</si>
  <si>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</si>
  <si>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</si>
  <si>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</si>
  <si>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</si>
  <si>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</si>
  <si>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</si>
  <si>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</si>
  <si>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</si>
  <si>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</si>
  <si>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</si>
  <si>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</si>
  <si>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</si>
  <si>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</si>
  <si>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</si>
  <si>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</si>
  <si>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</si>
  <si>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</si>
  <si>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</si>
  <si>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</si>
  <si>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</si>
  <si>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</si>
  <si>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</si>
  <si>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</si>
  <si>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</si>
  <si>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</si>
  <si>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</si>
  <si>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</si>
  <si>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</si>
  <si>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</si>
  <si>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</si>
  <si>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</si>
  <si>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</si>
  <si>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</si>
  <si>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</si>
  <si>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</si>
  <si>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</si>
  <si>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</si>
  <si>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</si>
  <si>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</si>
  <si>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</si>
  <si>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</si>
  <si>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</si>
  <si>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</si>
  <si>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</si>
  <si>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</si>
  <si>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</si>
  <si>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</si>
  <si>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</si>
  <si>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</si>
  <si>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</si>
  <si>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</si>
  <si>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</si>
  <si>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</si>
  <si>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</si>
  <si>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</si>
  <si>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</si>
  <si>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</si>
  <si>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</si>
  <si>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</si>
  <si>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</si>
  <si>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</si>
  <si>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</si>
  <si>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</si>
  <si>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</si>
  <si>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</si>
  <si>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</si>
  <si>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</si>
  <si>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</si>
  <si>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</si>
  <si>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</si>
  <si>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</si>
  <si>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</si>
  <si>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</si>
  <si>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</si>
  <si>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</si>
  <si>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</si>
  <si>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</si>
  <si>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</si>
  <si>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</si>
  <si>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</si>
  <si>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</si>
  <si>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</si>
  <si>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</si>
  <si>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</si>
  <si>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</si>
  <si>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</si>
  <si>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</si>
  <si>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</si>
  <si>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</si>
  <si>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</si>
  <si>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</si>
  <si>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</si>
  <si>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</si>
  <si>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</si>
  <si>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</si>
  <si>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</si>
  <si>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</si>
  <si>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</si>
  <si>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</si>
  <si>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</si>
  <si>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</si>
  <si>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</si>
  <si>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</si>
  <si>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</si>
  <si>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</si>
  <si>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</si>
  <si>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</si>
  <si>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</si>
  <si>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</si>
  <si>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</si>
  <si>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</si>
  <si>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</si>
  <si>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</si>
  <si>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</si>
  <si>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</si>
  <si>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</si>
  <si>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</si>
  <si>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</si>
  <si>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</si>
  <si>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</si>
  <si>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</si>
  <si>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</si>
  <si>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</si>
  <si>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</si>
  <si>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</si>
  <si>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</si>
  <si>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</si>
  <si>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</si>
  <si>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</si>
  <si>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</si>
  <si>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</si>
  <si>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</si>
  <si>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</si>
  <si>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</si>
  <si>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</si>
  <si>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</si>
  <si>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</si>
  <si>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</si>
  <si>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</si>
  <si>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</si>
  <si>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</si>
  <si>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</si>
  <si>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</si>
  <si>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</si>
  <si>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</si>
  <si>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</si>
  <si>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</si>
  <si>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</si>
  <si>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</si>
  <si>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</si>
  <si>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</si>
  <si>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</si>
  <si>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</si>
  <si>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</si>
  <si>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</si>
  <si>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</si>
  <si>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</si>
  <si>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</si>
  <si>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</si>
  <si>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</si>
  <si>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</si>
  <si>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</si>
  <si>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</si>
  <si>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</si>
  <si>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</si>
  <si>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</si>
  <si>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</si>
  <si>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</si>
  <si>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</si>
  <si>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</si>
  <si>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</si>
  <si>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</si>
  <si>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</si>
  <si>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</si>
  <si>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</si>
  <si>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</si>
  <si>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</si>
  <si>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</si>
  <si>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</si>
  <si>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</si>
  <si>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</si>
  <si>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</si>
  <si>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</si>
  <si>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</si>
  <si>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</si>
  <si>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</si>
  <si>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</si>
  <si>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</si>
  <si>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</si>
  <si>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</si>
  <si>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</si>
  <si>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</si>
  <si>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</si>
  <si>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</si>
  <si>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</si>
  <si>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</si>
  <si>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</si>
  <si>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</si>
  <si>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</si>
  <si>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</si>
  <si>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</si>
  <si>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</si>
  <si>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</si>
  <si>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</si>
  <si>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</si>
  <si>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</si>
  <si>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</si>
  <si>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</si>
  <si>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</si>
  <si>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</si>
  <si>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</si>
  <si>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</si>
  <si>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</si>
  <si>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</si>
  <si>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</si>
  <si>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</si>
  <si>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</si>
  <si>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</si>
  <si>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</si>
  <si>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</si>
  <si>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</si>
  <si>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</si>
  <si>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</si>
  <si>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</si>
  <si>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</si>
  <si>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</si>
  <si>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</si>
  <si>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</si>
  <si>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</si>
  <si>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</si>
  <si>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</si>
  <si>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</si>
  <si>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</si>
  <si>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</si>
  <si>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</si>
  <si>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</si>
  <si>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</si>
  <si>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</si>
  <si>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</si>
  <si>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</si>
  <si>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</si>
  <si>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</si>
  <si>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</si>
  <si>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</si>
  <si>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</si>
  <si>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</si>
  <si>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</si>
  <si>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</si>
  <si>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</si>
  <si>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</si>
  <si>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</si>
  <si>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</si>
  <si>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</si>
  <si>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</si>
  <si>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</si>
  <si>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</si>
  <si>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</si>
  <si>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</si>
  <si>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</si>
  <si>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</si>
  <si>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</si>
  <si>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</si>
  <si>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</si>
  <si>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</si>
  <si>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</si>
  <si>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</si>
  <si>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</si>
  <si>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</si>
  <si>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</si>
  <si>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</si>
  <si>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</si>
  <si>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</si>
  <si>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</si>
  <si>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</si>
  <si>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</si>
  <si>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</si>
  <si>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</si>
  <si>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</si>
  <si>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</si>
  <si>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</si>
  <si>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</si>
  <si>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</si>
  <si>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</si>
  <si>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</si>
  <si>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</si>
  <si>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</si>
  <si>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</si>
  <si>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</si>
  <si>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</si>
  <si>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</si>
  <si>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</si>
  <si>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</si>
  <si>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</si>
  <si>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</si>
  <si>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</si>
  <si>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</si>
  <si>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</si>
  <si>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</si>
  <si>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</si>
  <si>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</si>
  <si>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</si>
  <si>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</si>
  <si>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</si>
  <si>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</si>
  <si>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</si>
  <si>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</si>
  <si>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</si>
  <si>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</si>
  <si>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</si>
  <si>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</si>
  <si>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</si>
  <si>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</si>
  <si>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</si>
  <si>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</si>
  <si>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</si>
  <si>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</si>
  <si>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</si>
  <si>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</si>
  <si>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</si>
  <si>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</si>
  <si>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</si>
  <si>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</si>
  <si>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</si>
  <si>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</si>
  <si>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</si>
  <si>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</si>
  <si>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</si>
  <si>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</si>
  <si>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</si>
  <si>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</si>
  <si>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</si>
  <si>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</si>
  <si>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</si>
  <si>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</si>
  <si>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</si>
  <si>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</si>
  <si>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</si>
  <si>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</si>
  <si>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</si>
  <si>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</si>
  <si>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</si>
  <si>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</si>
  <si>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</si>
  <si>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</si>
  <si>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</si>
  <si>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</si>
  <si>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</si>
  <si>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</si>
  <si>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</si>
  <si>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</si>
  <si>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</si>
  <si>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</si>
  <si>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</si>
  <si>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</si>
  <si>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</si>
  <si>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</si>
  <si>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</si>
  <si>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</si>
  <si>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</si>
  <si>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</si>
  <si>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</si>
  <si>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</si>
  <si>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</si>
  <si>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</si>
  <si>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</si>
  <si>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</si>
  <si>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</si>
  <si>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</si>
  <si>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</si>
  <si>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</si>
  <si>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</si>
  <si>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</si>
  <si>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</si>
  <si>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</si>
  <si>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</si>
  <si>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</si>
  <si>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</si>
  <si>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</si>
  <si>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</si>
  <si>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</si>
  <si>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</si>
  <si>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</si>
  <si>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</si>
  <si>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</si>
  <si>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</si>
  <si>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</si>
  <si>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</si>
  <si>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</si>
  <si>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</si>
  <si>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</si>
  <si>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</si>
  <si>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</si>
  <si>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</si>
  <si>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</si>
  <si>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</si>
  <si>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</si>
  <si>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</si>
  <si>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</si>
  <si>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</si>
  <si>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</si>
  <si>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</si>
  <si>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</si>
  <si>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</si>
  <si>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</si>
  <si>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</si>
  <si>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</si>
  <si>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</si>
  <si>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</si>
  <si>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</si>
  <si>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</si>
  <si>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</si>
  <si>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</si>
  <si>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</si>
  <si>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</si>
  <si>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</si>
  <si>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</si>
  <si>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</si>
  <si>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</si>
  <si>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</si>
  <si>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</si>
  <si>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</si>
  <si>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</si>
  <si>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</si>
  <si>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</si>
  <si>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</si>
  <si>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</si>
  <si>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</si>
  <si>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</si>
  <si>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</si>
  <si>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</si>
  <si>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</si>
  <si>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</si>
  <si>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</si>
  <si>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</si>
  <si>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</si>
  <si>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</si>
  <si>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</si>
  <si>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</si>
  <si>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</si>
  <si>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</si>
  <si>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</si>
  <si>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</si>
  <si>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</si>
  <si>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</si>
  <si>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</si>
  <si>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</si>
  <si>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</si>
  <si>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</si>
  <si>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</si>
  <si>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</si>
  <si>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</si>
  <si>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</si>
  <si>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</si>
  <si>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</si>
  <si>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</si>
  <si>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</si>
  <si>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</si>
  <si>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</si>
  <si>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</si>
  <si>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</si>
  <si>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</si>
  <si>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</si>
  <si>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</si>
  <si>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</si>
  <si>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</si>
  <si>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</si>
  <si>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</si>
  <si>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</si>
  <si>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</si>
  <si>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</si>
  <si>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</si>
  <si>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</si>
  <si>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</si>
  <si>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</si>
  <si>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</si>
  <si>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</si>
  <si>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</si>
  <si>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</si>
  <si>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</si>
  <si>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</si>
  <si>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</si>
  <si>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</si>
  <si>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</si>
  <si>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</si>
  <si>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</si>
  <si>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</si>
  <si>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</si>
  <si>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</si>
  <si>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</si>
  <si>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</si>
  <si>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</si>
  <si>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</si>
  <si>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</si>
  <si>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</si>
  <si>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</si>
  <si>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</si>
  <si>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</si>
  <si>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</si>
  <si>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</si>
  <si>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</si>
  <si>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</si>
  <si>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</si>
  <si>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</si>
  <si>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</si>
  <si>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</si>
  <si>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</si>
  <si>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</si>
  <si>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</si>
  <si>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</si>
  <si>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</si>
  <si>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</si>
  <si>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</si>
  <si>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</si>
  <si>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</si>
  <si>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</si>
  <si>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</si>
  <si>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</si>
  <si>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</si>
  <si>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</si>
  <si>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</si>
  <si>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</si>
  <si>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</si>
  <si>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</si>
  <si>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</si>
  <si>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</si>
  <si>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</si>
  <si>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</si>
  <si>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</si>
  <si>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</si>
  <si>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</si>
  <si>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</si>
  <si>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</si>
  <si>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</si>
  <si>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</si>
  <si>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</si>
  <si>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</si>
  <si>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</si>
  <si>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</si>
  <si>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</si>
  <si>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</si>
  <si>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</si>
  <si>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</si>
  <si>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</si>
  <si>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</si>
  <si>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</si>
  <si>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</si>
  <si>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</si>
  <si>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</si>
  <si>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</si>
  <si>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</si>
  <si>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</si>
  <si>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</si>
  <si>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</si>
  <si>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</si>
  <si>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</si>
  <si>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</si>
  <si>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</si>
  <si>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</si>
  <si>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</si>
  <si>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</si>
  <si>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</si>
  <si>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</si>
  <si>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</si>
  <si>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</si>
  <si>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</si>
  <si>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</si>
  <si>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</si>
  <si>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</si>
  <si>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</si>
  <si>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</si>
  <si>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</si>
  <si>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</si>
  <si>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</si>
  <si>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</si>
  <si>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</si>
  <si>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</si>
  <si>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</si>
  <si>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</si>
  <si>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</si>
  <si>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</si>
  <si>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</si>
  <si>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</si>
  <si>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</si>
  <si>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</si>
  <si>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</si>
  <si>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</si>
  <si>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</si>
  <si>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</si>
  <si>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</si>
  <si>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</si>
  <si>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</si>
  <si>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</si>
  <si>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</si>
  <si>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</si>
  <si>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</si>
  <si>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</si>
  <si>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</si>
  <si>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</si>
  <si>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</si>
  <si>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</si>
  <si>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</si>
  <si>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</si>
  <si>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</si>
  <si>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</si>
  <si>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</si>
  <si>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</si>
  <si>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</si>
  <si>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</si>
  <si>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</si>
  <si>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</si>
  <si>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</si>
  <si>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</si>
  <si>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</si>
  <si>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</si>
  <si>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</si>
  <si>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</si>
  <si>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</si>
  <si>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</si>
  <si>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</si>
  <si>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</si>
  <si>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</si>
  <si>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</si>
  <si>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</si>
  <si>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</si>
  <si>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</si>
  <si>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</si>
  <si>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</si>
  <si>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</si>
  <si>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</si>
  <si>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</si>
  <si>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</si>
  <si>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</si>
  <si>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</si>
  <si>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</si>
  <si>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</si>
  <si>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</si>
  <si>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</si>
  <si>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</si>
  <si>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</si>
  <si>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</si>
  <si>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</si>
  <si>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</si>
  <si>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</si>
  <si>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</si>
  <si>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</si>
  <si>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</si>
  <si>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</si>
  <si>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</si>
  <si>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</si>
  <si>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</si>
  <si>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</si>
  <si>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</si>
  <si>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</si>
  <si>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</si>
  <si>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</si>
  <si>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</si>
  <si>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</si>
  <si>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</si>
  <si>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</si>
  <si>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</si>
  <si>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</si>
  <si>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</si>
  <si>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</si>
  <si>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</si>
  <si>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</si>
  <si>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</si>
  <si>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</si>
  <si>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</si>
  <si>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</si>
  <si>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</si>
  <si>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</si>
  <si>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</si>
  <si>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</si>
  <si>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</si>
  <si>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</si>
  <si>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</si>
  <si>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</si>
  <si>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</si>
  <si>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</si>
  <si>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</si>
  <si>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</si>
  <si>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</si>
  <si>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</si>
  <si>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</si>
  <si>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</si>
  <si>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</si>
  <si>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</si>
  <si>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</si>
  <si>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</si>
  <si>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</si>
  <si>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</si>
  <si>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</si>
  <si>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</si>
  <si>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</si>
  <si>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</si>
  <si>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</si>
  <si>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</si>
  <si>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</si>
  <si>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</si>
  <si>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</si>
  <si>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</si>
  <si>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</si>
  <si>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</si>
  <si>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</si>
  <si>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</si>
  <si>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</si>
  <si>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</si>
  <si>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</si>
  <si>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</si>
  <si>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</si>
  <si>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</si>
  <si>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</si>
  <si>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</si>
  <si>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</si>
  <si>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</si>
  <si>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</si>
  <si>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</si>
  <si>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</si>
  <si>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</si>
  <si>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</si>
  <si>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</si>
  <si>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</si>
  <si>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</si>
  <si>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</si>
  <si>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</si>
  <si>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</si>
  <si>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</si>
  <si>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</si>
  <si>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</si>
  <si>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</si>
  <si>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</si>
  <si>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</si>
  <si>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</si>
  <si>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</si>
  <si>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</si>
  <si>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</si>
  <si>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</si>
  <si>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</si>
  <si>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</si>
  <si>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</si>
  <si>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</si>
  <si>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</si>
  <si>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</si>
  <si>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</si>
  <si>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</si>
  <si>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</si>
  <si>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</si>
  <si>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</si>
  <si>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</si>
  <si>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</si>
  <si>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</si>
  <si>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</si>
  <si>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</si>
  <si>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</si>
  <si>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</si>
  <si>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</si>
  <si>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</si>
  <si>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</si>
  <si>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</si>
  <si>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</si>
  <si>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</si>
  <si>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</si>
  <si>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</si>
  <si>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</si>
  <si>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</si>
  <si>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</si>
  <si>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</si>
  <si>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</si>
  <si>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</si>
  <si>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</si>
  <si>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</si>
  <si>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</si>
  <si>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</si>
  <si>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</si>
  <si>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</si>
  <si>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</si>
  <si>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</si>
  <si>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</si>
  <si>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</si>
  <si>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</si>
  <si>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</si>
  <si>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</si>
  <si>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</si>
  <si>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</si>
  <si>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</si>
  <si>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</si>
  <si>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</si>
  <si>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</si>
  <si>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</si>
  <si>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</si>
  <si>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</si>
  <si>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</si>
  <si>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</si>
  <si>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</si>
  <si>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</si>
  <si>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</si>
  <si>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</si>
  <si>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</si>
  <si>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</si>
  <si>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</si>
  <si>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</si>
  <si>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</si>
  <si>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</si>
  <si>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</si>
  <si>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</si>
  <si>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</si>
  <si>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</si>
  <si>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</si>
  <si>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</si>
  <si>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</si>
  <si>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</si>
  <si>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</si>
  <si>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</si>
  <si>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</si>
  <si>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</si>
  <si>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</si>
  <si>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</si>
  <si>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</si>
  <si>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</si>
  <si>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</si>
  <si>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</si>
  <si>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</si>
  <si>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</si>
  <si>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</si>
  <si>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</si>
  <si>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</si>
  <si>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</si>
  <si>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</si>
  <si>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</si>
  <si>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</si>
  <si>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</si>
  <si>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</si>
  <si>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</si>
  <si>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</si>
  <si>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</si>
  <si>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</si>
  <si>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</si>
  <si>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</si>
  <si>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</si>
  <si>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</si>
  <si>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</si>
  <si>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</si>
  <si>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</si>
  <si>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</si>
  <si>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</si>
  <si>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</si>
  <si>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</si>
  <si>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</si>
  <si>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</si>
  <si>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</si>
  <si>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</si>
  <si>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</si>
  <si>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</si>
  <si>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</si>
  <si>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</si>
  <si>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</si>
  <si>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</si>
  <si>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</si>
  <si>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</si>
  <si>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</si>
  <si>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</si>
  <si>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</si>
  <si>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</si>
  <si>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</si>
  <si>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</si>
  <si>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</si>
  <si>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</si>
  <si>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</si>
  <si>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</si>
  <si>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</si>
  <si>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</si>
  <si>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</si>
  <si>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</si>
  <si>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</si>
  <si>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</si>
  <si>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</si>
  <si>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</si>
  <si>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</si>
  <si>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</si>
  <si>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</si>
  <si>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</si>
  <si>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</si>
  <si>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</si>
  <si>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</si>
  <si>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</si>
  <si>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</si>
  <si>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</si>
  <si>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</si>
  <si>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</si>
  <si>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</si>
  <si>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</si>
  <si>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</si>
  <si>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</si>
  <si>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</si>
  <si>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</si>
  <si>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</si>
  <si>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</si>
  <si>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</si>
  <si>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</si>
  <si>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</si>
  <si>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</si>
  <si>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</si>
  <si>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</si>
  <si>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</si>
  <si>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</si>
  <si>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</si>
  <si>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</si>
  <si>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</si>
  <si>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</si>
  <si>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</si>
  <si>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</si>
  <si>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</si>
  <si>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</si>
  <si>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</si>
  <si>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</si>
  <si>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</si>
  <si>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</si>
  <si>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</si>
  <si>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</si>
  <si>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</si>
  <si>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</si>
  <si>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</si>
  <si>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</si>
  <si>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</si>
  <si>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</si>
  <si>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</si>
  <si>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</si>
  <si>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</si>
  <si>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</si>
  <si>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</si>
  <si>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</si>
  <si>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</si>
  <si>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</si>
  <si>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</si>
  <si>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</si>
  <si>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</si>
  <si>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</si>
  <si>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</si>
  <si>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</si>
  <si>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</si>
  <si>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</si>
  <si>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</si>
  <si>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</si>
  <si>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</si>
  <si>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</si>
  <si>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</si>
  <si>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</si>
  <si>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</si>
  <si>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</si>
  <si>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</si>
  <si>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</si>
  <si>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</si>
  <si>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</si>
  <si>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</si>
  <si>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</si>
  <si>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</si>
  <si>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</si>
  <si>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</si>
  <si>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</si>
  <si>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</si>
  <si>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</si>
  <si>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</si>
  <si>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</si>
  <si>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</si>
  <si>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</si>
  <si>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</si>
  <si>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</si>
  <si>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</si>
  <si>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</si>
  <si>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</si>
  <si>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</si>
  <si>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</si>
  <si>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</si>
  <si>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</si>
  <si>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</si>
  <si>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</si>
  <si>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</si>
  <si>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</si>
  <si>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</si>
  <si>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</si>
  <si>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</si>
  <si>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</si>
  <si>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</si>
  <si>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</si>
  <si>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</si>
  <si>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</si>
  <si>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</si>
  <si>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</si>
  <si>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</si>
  <si>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</si>
  <si>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</si>
  <si>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</si>
  <si>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</si>
  <si>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</si>
  <si>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</si>
  <si>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</si>
  <si>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</si>
  <si>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</si>
  <si>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</si>
  <si>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</si>
  <si>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</si>
  <si>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</si>
  <si>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</si>
  <si>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</si>
  <si>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</si>
  <si>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</si>
  <si>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</si>
  <si>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</si>
  <si>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</si>
  <si>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</si>
  <si>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</si>
  <si>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</si>
  <si>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</si>
  <si>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</si>
  <si>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</si>
  <si>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</si>
  <si>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</si>
  <si>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</si>
  <si>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</si>
  <si>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</si>
  <si>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</si>
  <si>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</si>
  <si>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</si>
  <si>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</si>
  <si>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</si>
  <si>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</si>
  <si>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</si>
  <si>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</si>
  <si>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</si>
  <si>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</si>
  <si>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</si>
  <si>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</si>
  <si>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</si>
  <si>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</si>
  <si>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</si>
  <si>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</si>
  <si>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</si>
  <si>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</si>
  <si>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</si>
  <si>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</si>
  <si>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</si>
  <si>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</si>
  <si>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</si>
  <si>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</si>
  <si>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</si>
  <si>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</si>
  <si>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</si>
  <si>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</si>
  <si>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</si>
  <si>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</si>
  <si>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</si>
  <si>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</si>
  <si>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</si>
  <si>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</si>
  <si>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</si>
  <si>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</si>
  <si>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</si>
  <si>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</si>
  <si>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</si>
  <si>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</si>
  <si>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</si>
  <si>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</si>
  <si>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</si>
  <si>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</si>
  <si>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</si>
  <si>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</si>
  <si>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</si>
  <si>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</si>
  <si>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</si>
  <si>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</si>
  <si>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</si>
  <si>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</si>
  <si>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</si>
  <si>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</si>
  <si>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</si>
  <si>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</si>
  <si>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</si>
  <si>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</si>
  <si>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</si>
  <si>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</si>
  <si>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</si>
  <si>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</si>
  <si>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</si>
  <si>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</si>
  <si>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</si>
  <si>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</si>
  <si>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</si>
  <si>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</si>
  <si>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</si>
  <si>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</si>
  <si>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</si>
  <si>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</si>
  <si>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</si>
  <si>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</si>
  <si>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</si>
  <si>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</si>
  <si>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</si>
  <si>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</si>
  <si>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</si>
  <si>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</si>
  <si>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</si>
  <si>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</si>
  <si>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</si>
  <si>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</si>
  <si>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</si>
  <si>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</si>
  <si>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</si>
  <si>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</si>
  <si>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</si>
  <si>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</si>
  <si>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</si>
  <si>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</si>
  <si>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</si>
  <si>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</si>
  <si>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</si>
  <si>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</si>
  <si>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</si>
  <si>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</si>
  <si>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</si>
  <si>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</si>
  <si>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</si>
  <si>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</si>
  <si>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</si>
  <si>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</si>
  <si>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</si>
  <si>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</si>
  <si>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</si>
  <si>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</si>
  <si>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</si>
  <si>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</si>
  <si>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</si>
  <si>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</si>
  <si>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</si>
  <si>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</si>
  <si>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</si>
  <si>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</si>
  <si>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</si>
  <si>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</si>
  <si>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</si>
  <si>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</si>
  <si>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</si>
  <si>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</si>
  <si>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</si>
  <si>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</si>
  <si>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</si>
  <si>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</si>
  <si>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</si>
  <si>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</si>
  <si>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</si>
  <si>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</si>
  <si>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</si>
  <si>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</si>
  <si>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</si>
  <si>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</si>
  <si>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</si>
  <si>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</si>
  <si>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</si>
  <si>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</si>
  <si>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</si>
  <si>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</si>
  <si>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</si>
  <si>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</si>
  <si>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</si>
  <si>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</si>
  <si>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</si>
  <si>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</si>
  <si>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</si>
  <si>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</si>
  <si>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</si>
  <si>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</si>
  <si>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</si>
  <si>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</si>
  <si>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</si>
  <si>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</si>
  <si>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</si>
  <si>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</si>
  <si>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</si>
  <si>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</si>
  <si>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</si>
  <si>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</si>
  <si>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</si>
  <si>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</si>
  <si>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</si>
  <si>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</si>
  <si>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</si>
  <si>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</si>
  <si>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</si>
  <si>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</si>
  <si>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</si>
  <si>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</si>
  <si>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</si>
  <si>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</si>
  <si>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</si>
  <si>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</si>
  <si>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</si>
  <si>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</si>
  <si>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</si>
  <si>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</si>
  <si>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</si>
  <si>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</si>
  <si>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</si>
  <si>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</si>
  <si>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</si>
  <si>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</si>
  <si>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</si>
  <si>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</si>
  <si>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</si>
  <si>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</si>
  <si>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</si>
  <si>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</si>
  <si>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</si>
  <si>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</si>
  <si>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</si>
  <si>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</si>
  <si>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</si>
  <si>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</si>
  <si>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</si>
  <si>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</si>
  <si>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</si>
  <si>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</si>
  <si>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</si>
  <si>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</si>
  <si>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</si>
  <si>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</si>
  <si>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</si>
  <si>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</si>
  <si>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</si>
  <si>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</si>
  <si>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</si>
  <si>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</si>
  <si>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</si>
  <si>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</si>
  <si>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</si>
  <si>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</si>
  <si>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</si>
  <si>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</si>
  <si>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</si>
  <si>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</si>
  <si>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</si>
  <si>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</si>
  <si>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</si>
  <si>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</si>
  <si>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</si>
  <si>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</si>
  <si>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</si>
  <si>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</si>
  <si>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</si>
  <si>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</si>
  <si>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</si>
  <si>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</si>
  <si>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</si>
  <si>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</si>
  <si>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</si>
  <si>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</si>
  <si>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</si>
  <si>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</si>
  <si>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</si>
  <si>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</si>
  <si>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</si>
  <si>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</si>
  <si>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</si>
  <si>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</si>
  <si>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</si>
  <si>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</si>
  <si>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</si>
  <si>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</si>
  <si>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</si>
  <si>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</si>
  <si>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</si>
  <si>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</si>
  <si>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</si>
  <si>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</si>
  <si>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</si>
  <si>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</si>
  <si>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</si>
  <si>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</si>
  <si>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</si>
  <si>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</si>
  <si>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</si>
  <si>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</si>
  <si>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</si>
  <si>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</si>
  <si>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</si>
  <si>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</si>
  <si>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</si>
  <si>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</si>
  <si>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</si>
  <si>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</si>
  <si>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</si>
  <si>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</si>
  <si>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</si>
  <si>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</si>
  <si>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</si>
  <si>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</si>
  <si>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</si>
  <si>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</si>
  <si>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</si>
  <si>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</si>
  <si>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</si>
  <si>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</si>
  <si>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</si>
  <si>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</si>
  <si>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</si>
  <si>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</si>
  <si>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</si>
  <si>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</si>
  <si>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</si>
  <si>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</si>
  <si>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</si>
  <si>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</si>
  <si>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</si>
  <si>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</si>
  <si>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</si>
  <si>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</si>
  <si>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</si>
  <si>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</si>
  <si>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</si>
  <si>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</si>
  <si>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</si>
  <si>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</si>
  <si>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</si>
  <si>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</si>
  <si>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</si>
  <si>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</si>
  <si>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</si>
  <si>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</si>
  <si>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</si>
  <si>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</si>
  <si>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</si>
  <si>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</si>
  <si>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</si>
  <si>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</si>
  <si>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</si>
  <si>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</si>
  <si>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</si>
  <si>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</si>
  <si>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</si>
  <si>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</si>
  <si>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</si>
  <si>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</si>
  <si>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</si>
  <si>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</si>
  <si>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</si>
  <si>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</si>
  <si>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</si>
  <si>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</si>
  <si>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</si>
  <si>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</si>
  <si>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</si>
  <si>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</si>
  <si>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</si>
  <si>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</si>
  <si>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</si>
  <si>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</si>
  <si>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</si>
  <si>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</si>
  <si>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</si>
  <si>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</si>
  <si>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</si>
  <si>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</si>
  <si>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</si>
  <si>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</si>
  <si>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</si>
  <si>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</si>
  <si>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</si>
  <si>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</si>
  <si>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</si>
  <si>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</si>
  <si>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</si>
  <si>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</si>
  <si>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</si>
  <si>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</si>
  <si>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</si>
  <si>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</si>
  <si>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</si>
  <si>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</si>
  <si>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</si>
  <si>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</si>
  <si>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</si>
  <si>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</si>
  <si>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</si>
  <si>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</si>
  <si>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</si>
  <si>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</si>
  <si>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</si>
  <si>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</si>
  <si>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</si>
  <si>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</si>
  <si>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</si>
  <si>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</si>
  <si>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</si>
  <si>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</si>
  <si>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</si>
  <si>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</si>
  <si>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</si>
  <si>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</si>
  <si>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</si>
  <si>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</si>
  <si>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</si>
  <si>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</si>
  <si>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</si>
  <si>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</si>
  <si>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</si>
  <si>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</si>
  <si>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</si>
  <si>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</si>
  <si>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</si>
  <si>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</si>
  <si>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</si>
  <si>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</si>
  <si>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</si>
  <si>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</si>
  <si>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</si>
  <si>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</si>
  <si>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</si>
  <si>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</si>
  <si>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</si>
  <si>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</si>
  <si>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</si>
  <si>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</si>
  <si>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</si>
  <si>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</si>
  <si>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</si>
  <si>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</si>
  <si>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</si>
  <si>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</si>
  <si>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</si>
  <si>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</si>
  <si>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</si>
  <si>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</si>
  <si>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</si>
  <si>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</si>
  <si>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</si>
  <si>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</si>
  <si>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</si>
  <si>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</si>
  <si>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</si>
  <si>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</si>
  <si>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赵璠</t>
    <phoneticPr fontId="3" type="noConversion"/>
  </si>
  <si>
    <t>2019A-027</t>
    <phoneticPr fontId="3" type="noConversion"/>
  </si>
  <si>
    <t>刘俊财</t>
    <phoneticPr fontId="3" type="noConversion"/>
  </si>
  <si>
    <t>2020-1</t>
    <phoneticPr fontId="3" type="noConversion"/>
  </si>
  <si>
    <t>抵押价格</t>
  </si>
  <si>
    <t>其他：</t>
  </si>
  <si>
    <t>成都市</t>
  </si>
  <si>
    <t>成都市</t>
    <phoneticPr fontId="6" type="noConversion"/>
  </si>
  <si>
    <t>金堂县三星镇天灯村</t>
    <phoneticPr fontId="6" type="noConversion"/>
  </si>
  <si>
    <t>企业</t>
  </si>
  <si>
    <t>商业</t>
  </si>
  <si>
    <t>居住项目</t>
  </si>
  <si>
    <t>通路</t>
  </si>
  <si>
    <t>通电</t>
  </si>
  <si>
    <t>通讯</t>
  </si>
  <si>
    <t>通上水</t>
  </si>
  <si>
    <t>通下水</t>
  </si>
  <si>
    <t>燃气</t>
  </si>
  <si>
    <t>地上</t>
  </si>
  <si>
    <t>住宅</t>
    <phoneticPr fontId="7" type="noConversion"/>
  </si>
  <si>
    <t>商业</t>
    <phoneticPr fontId="7" type="noConversion"/>
  </si>
  <si>
    <t>不动产收益法</t>
  </si>
  <si>
    <t>项目全部</t>
  </si>
  <si>
    <t>土地</t>
  </si>
  <si>
    <t>比较法-住宅、综合</t>
  </si>
  <si>
    <t>剩余法-待开发</t>
  </si>
  <si>
    <t>土地（套用方法）</t>
  </si>
  <si>
    <t>押一</t>
  </si>
  <si>
    <t>按租金收入计税</t>
  </si>
  <si>
    <t>钢混</t>
  </si>
  <si>
    <t>地块名称</t>
  </si>
  <si>
    <t>城市</t>
  </si>
  <si>
    <t>用地性质</t>
  </si>
  <si>
    <t>建设用地面积(㎡)</t>
  </si>
  <si>
    <t>规划建筑面积(㎡)</t>
  </si>
  <si>
    <t>出让方式</t>
  </si>
  <si>
    <t>截止日期</t>
  </si>
  <si>
    <t>起始价(万元)</t>
  </si>
  <si>
    <t>成交价(万元)</t>
  </si>
  <si>
    <t>成交楼面价(元/㎡)</t>
  </si>
  <si>
    <t>溢价率</t>
  </si>
  <si>
    <t>受让单位</t>
  </si>
  <si>
    <t>金堂县淮州新城通航东区纬三路以北、经六路以东(ⅢB006地块)</t>
  </si>
  <si>
    <t>综合用地(含住宅)</t>
  </si>
  <si>
    <t>大于1.0且不大于2.0</t>
  </si>
  <si>
    <t>拍卖</t>
  </si>
  <si>
    <t>2019-11-29</t>
  </si>
  <si>
    <t>成都淮州东兴建设开发有限公司</t>
  </si>
  <si>
    <t>金堂县淮州新城通航东区纬三路以北、经五路以西(ⅢB005地块)</t>
  </si>
  <si>
    <t>不大于2.0</t>
  </si>
  <si>
    <t>金堂县淮州新城通航东区纬二路以南、经五路以西(ⅢB004地块)</t>
  </si>
  <si>
    <t>＜1.0且≤2.0</t>
  </si>
  <si>
    <t>金堂县赵镇金园街东侧(金山公园以南地块)</t>
  </si>
  <si>
    <t>≥1.0且≤2.0</t>
  </si>
  <si>
    <t>2019-08-28</t>
  </si>
  <si>
    <t>成都干道金翔置业有限责任公司</t>
  </si>
  <si>
    <t>金堂县三星镇兰家店路以南、南北一路以西(三星51号拟出让地块)</t>
  </si>
  <si>
    <t>大于1.0且≤2.5</t>
  </si>
  <si>
    <t>2019-05-30</t>
  </si>
  <si>
    <t>成都金堂和裕房地产开发有限责任公司</t>
  </si>
  <si>
    <t>金堂县三星镇唐巴路以南、星文路以东(三星D-4拟出让地块)</t>
  </si>
  <si>
    <t>不小于1.0且不大于2.5</t>
  </si>
  <si>
    <t>2019-04-11</t>
  </si>
  <si>
    <t>金堂县赵镇毗河三桥东侧</t>
  </si>
  <si>
    <t>住宅用地</t>
  </si>
  <si>
    <t>大于1并且小于或等于2</t>
  </si>
  <si>
    <t>2019-01-31</t>
  </si>
  <si>
    <t>成都金堂发展投资有限公司</t>
  </si>
  <si>
    <t>金堂县赵镇毗河以东、杨柳桥街以西(恒大以西F地块)</t>
  </si>
  <si>
    <t>大于或等于1并且小于或等于2.25</t>
  </si>
  <si>
    <t>2018-12-26</t>
  </si>
  <si>
    <t>成都交投善成实业有限公司</t>
  </si>
  <si>
    <t>金堂县赵镇毗河以东、杨柳桥街以西(恒大以西G地块)</t>
  </si>
  <si>
    <t>金堂县赵镇毗河以东,杨柳桥街以西(恒大以西E地块)</t>
  </si>
  <si>
    <t>2018-10-23</t>
  </si>
  <si>
    <t>金堂县赵镇会馆路以南,西家坝路以北(西家坝D地块)</t>
  </si>
  <si>
    <t>≥1.0且≤2.2</t>
  </si>
  <si>
    <t>2018-08-29</t>
  </si>
  <si>
    <t>成都兴城人居地产投资集团有限公司</t>
  </si>
  <si>
    <t>金堂县赵镇会馆路以南,西家坝路以北(西家坝B地块)</t>
  </si>
  <si>
    <t>金堂县赵镇金鹰路以西(恒大以西A地块)</t>
  </si>
  <si>
    <t>1.0＜r≤2.0</t>
  </si>
  <si>
    <t>2018-07-05</t>
  </si>
  <si>
    <t>保利(成都)实业有限公司</t>
  </si>
  <si>
    <t>金堂县赵镇金鹰路以西(恒大以西B地块)</t>
  </si>
  <si>
    <t>1.0＜r≤2.5</t>
  </si>
  <si>
    <t>成都世茂新城房地产开发有限公司</t>
  </si>
  <si>
    <t>金堂县赵镇金鹰路以西(恒大以西C地块)</t>
  </si>
  <si>
    <t>成都金禾茂置业有限公司</t>
  </si>
  <si>
    <t>楼面地价</t>
  </si>
  <si>
    <t>正常</t>
  </si>
  <si>
    <t>非个人房产</t>
  </si>
  <si>
    <t>五矿国际信托有限公司</t>
    <phoneticPr fontId="6" type="noConversion"/>
  </si>
  <si>
    <t>成都宜居水城城乡交通建设投资有限公司</t>
    <phoneticPr fontId="6" type="noConversion"/>
  </si>
  <si>
    <t>住宅</t>
    <phoneticPr fontId="6" type="noConversion"/>
  </si>
  <si>
    <t>一致</t>
  </si>
  <si>
    <t>否</t>
  </si>
  <si>
    <t>无</t>
  </si>
  <si>
    <t>场地平整</t>
  </si>
  <si>
    <t>平整</t>
  </si>
  <si>
    <t>住宅</t>
    <phoneticPr fontId="26" type="noConversion"/>
  </si>
  <si>
    <t>70</t>
    <phoneticPr fontId="26" type="noConversion"/>
  </si>
  <si>
    <t>一般</t>
  </si>
  <si>
    <t>较好</t>
  </si>
  <si>
    <t>六通</t>
  </si>
  <si>
    <t>规则</t>
    <phoneticPr fontId="26" type="noConversion"/>
  </si>
  <si>
    <t>较规则</t>
  </si>
  <si>
    <t>较规则</t>
    <phoneticPr fontId="26" type="noConversion"/>
  </si>
  <si>
    <t>较不规则</t>
    <phoneticPr fontId="26" type="noConversion"/>
  </si>
  <si>
    <t>不规则</t>
    <phoneticPr fontId="26" type="noConversion"/>
  </si>
  <si>
    <t>适宜</t>
    <phoneticPr fontId="26" type="noConversion"/>
  </si>
  <si>
    <t>较适宜</t>
  </si>
  <si>
    <t>较适宜</t>
    <phoneticPr fontId="26" type="noConversion"/>
  </si>
  <si>
    <t>较不适宜</t>
    <phoneticPr fontId="26" type="noConversion"/>
  </si>
  <si>
    <t>不适宜</t>
    <phoneticPr fontId="26" type="noConversion"/>
  </si>
  <si>
    <t>六通</t>
    <phoneticPr fontId="26" type="noConversion"/>
  </si>
  <si>
    <t>五通</t>
    <phoneticPr fontId="26" type="noConversion"/>
  </si>
  <si>
    <t>四通</t>
    <phoneticPr fontId="26" type="noConversion"/>
  </si>
  <si>
    <t>较好</t>
    <phoneticPr fontId="26" type="noConversion"/>
  </si>
  <si>
    <t>售价</t>
  </si>
  <si>
    <t>住宅</t>
    <phoneticPr fontId="21" type="noConversion"/>
  </si>
  <si>
    <t>60-70（含）</t>
  </si>
  <si>
    <t>和裕印象</t>
    <phoneticPr fontId="3" type="noConversion"/>
  </si>
  <si>
    <t>星岛宸院</t>
    <phoneticPr fontId="3" type="noConversion"/>
  </si>
  <si>
    <t>鹭洲城邦</t>
    <phoneticPr fontId="3" type="noConversion"/>
  </si>
  <si>
    <t>高层</t>
  </si>
  <si>
    <t>高层</t>
    <phoneticPr fontId="21" type="noConversion"/>
  </si>
  <si>
    <t>小高层</t>
  </si>
  <si>
    <t>小高层</t>
    <phoneticPr fontId="21" type="noConversion"/>
  </si>
  <si>
    <t>钢混</t>
    <phoneticPr fontId="21" type="noConversion"/>
  </si>
  <si>
    <t>专业</t>
    <phoneticPr fontId="21" type="noConversion"/>
  </si>
  <si>
    <t>六通</t>
    <phoneticPr fontId="21" type="noConversion"/>
  </si>
  <si>
    <t>精装</t>
    <phoneticPr fontId="21" type="noConversion"/>
  </si>
  <si>
    <t>普装</t>
    <phoneticPr fontId="21" type="noConversion"/>
  </si>
  <si>
    <t>简装</t>
    <phoneticPr fontId="21" type="noConversion"/>
  </si>
  <si>
    <t>毛坯</t>
  </si>
  <si>
    <t>毛坯</t>
    <phoneticPr fontId="21" type="noConversion"/>
  </si>
  <si>
    <t>平整费</t>
    <phoneticPr fontId="9"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</si>
</sst>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11"/>
      <color indexed="8"/>
      <name val="Arial"/>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cellStyleXfs>
  <cellXfs count="349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182" fontId="274" fillId="0" borderId="2" xfId="0" applyNumberFormat="1" applyFont="1" applyBorder="1" applyAlignment="1" applyProtection="1">
      <alignment horizontal="center" vertical="center"/>
      <protection locked="0"/>
    </xf>
    <xf numFmtId="0" fontId="86" fillId="0" borderId="0" xfId="16"/>
    <xf numFmtId="0" fontId="86" fillId="6" borderId="0" xfId="16" applyFill="1"/>
    <xf numFmtId="0" fontId="0" fillId="6" borderId="0" xfId="0" applyFill="1">
      <alignment vertical="center"/>
    </xf>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202" fillId="0" borderId="11" xfId="0" applyFont="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1">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color rgb="FFFF0000"/>
      </font>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485775</xdr:colOff>
      <xdr:row>17</xdr:row>
      <xdr:rowOff>9525</xdr:rowOff>
    </xdr:from>
    <xdr:to>
      <xdr:col>11</xdr:col>
      <xdr:colOff>389534</xdr:colOff>
      <xdr:row>40</xdr:row>
      <xdr:rowOff>9032</xdr:rowOff>
    </xdr:to>
    <xdr:pic>
      <xdr:nvPicPr>
        <xdr:cNvPr id="2" name="图片 1"/>
        <xdr:cNvPicPr>
          <a:picLocks noChangeAspect="1"/>
        </xdr:cNvPicPr>
      </xdr:nvPicPr>
      <xdr:blipFill>
        <a:blip xmlns:r="http://schemas.openxmlformats.org/officeDocument/2006/relationships" r:embed="rId1"/>
        <a:stretch>
          <a:fillRect/>
        </a:stretch>
      </xdr:blipFill>
      <xdr:spPr>
        <a:xfrm>
          <a:off x="485775" y="2924175"/>
          <a:ext cx="7933334" cy="39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120650</xdr:colOff>
      <xdr:row>0</xdr:row>
      <xdr:rowOff>50800</xdr:rowOff>
    </xdr:from>
    <xdr:to>
      <xdr:col>9</xdr:col>
      <xdr:colOff>318931</xdr:colOff>
      <xdr:row>22</xdr:row>
      <xdr:rowOff>146050</xdr:rowOff>
    </xdr:to>
    <xdr:pic>
      <xdr:nvPicPr>
        <xdr:cNvPr id="2" name="图片 1">
          <a:extLst>
            <a:ext uri="{FF2B5EF4-FFF2-40B4-BE49-F238E27FC236}">
              <a16:creationId xmlns="" xmlns:a16="http://schemas.microsoft.com/office/drawing/2014/main" id="{A3658443-AAB1-4142-9B64-1B0EE93FB5B4}"/>
            </a:ext>
          </a:extLst>
        </xdr:cNvPr>
        <xdr:cNvPicPr>
          <a:picLocks noChangeAspect="1"/>
        </xdr:cNvPicPr>
      </xdr:nvPicPr>
      <xdr:blipFill>
        <a:blip xmlns:r="http://schemas.openxmlformats.org/officeDocument/2006/relationships" r:embed="rId1"/>
        <a:stretch>
          <a:fillRect/>
        </a:stretch>
      </xdr:blipFill>
      <xdr:spPr>
        <a:xfrm>
          <a:off x="120650" y="50800"/>
          <a:ext cx="5684681" cy="4006850"/>
        </a:xfrm>
        <a:prstGeom prst="rect">
          <a:avLst/>
        </a:prstGeom>
      </xdr:spPr>
    </xdr:pic>
    <xdr:clientData/>
  </xdr:twoCellAnchor>
  <xdr:twoCellAnchor editAs="oneCell">
    <xdr:from>
      <xdr:col>0</xdr:col>
      <xdr:colOff>69850</xdr:colOff>
      <xdr:row>20</xdr:row>
      <xdr:rowOff>107951</xdr:rowOff>
    </xdr:from>
    <xdr:to>
      <xdr:col>10</xdr:col>
      <xdr:colOff>323850</xdr:colOff>
      <xdr:row>37</xdr:row>
      <xdr:rowOff>77217</xdr:rowOff>
    </xdr:to>
    <xdr:pic>
      <xdr:nvPicPr>
        <xdr:cNvPr id="3" name="图片 2">
          <a:extLst>
            <a:ext uri="{FF2B5EF4-FFF2-40B4-BE49-F238E27FC236}">
              <a16:creationId xmlns="" xmlns:a16="http://schemas.microsoft.com/office/drawing/2014/main" id="{5C4D96D2-1607-486D-9D55-560B40AE4B70}"/>
            </a:ext>
          </a:extLst>
        </xdr:cNvPr>
        <xdr:cNvPicPr>
          <a:picLocks noChangeAspect="1"/>
        </xdr:cNvPicPr>
      </xdr:nvPicPr>
      <xdr:blipFill>
        <a:blip xmlns:r="http://schemas.openxmlformats.org/officeDocument/2006/relationships" r:embed="rId2"/>
        <a:stretch>
          <a:fillRect/>
        </a:stretch>
      </xdr:blipFill>
      <xdr:spPr>
        <a:xfrm>
          <a:off x="69850" y="3663951"/>
          <a:ext cx="6350000" cy="2991866"/>
        </a:xfrm>
        <a:prstGeom prst="rect">
          <a:avLst/>
        </a:prstGeom>
      </xdr:spPr>
    </xdr:pic>
    <xdr:clientData/>
  </xdr:twoCellAnchor>
  <xdr:twoCellAnchor editAs="oneCell">
    <xdr:from>
      <xdr:col>0</xdr:col>
      <xdr:colOff>111986</xdr:colOff>
      <xdr:row>37</xdr:row>
      <xdr:rowOff>133351</xdr:rowOff>
    </xdr:from>
    <xdr:to>
      <xdr:col>10</xdr:col>
      <xdr:colOff>310149</xdr:colOff>
      <xdr:row>52</xdr:row>
      <xdr:rowOff>139700</xdr:rowOff>
    </xdr:to>
    <xdr:pic>
      <xdr:nvPicPr>
        <xdr:cNvPr id="4" name="图片 3">
          <a:extLst>
            <a:ext uri="{FF2B5EF4-FFF2-40B4-BE49-F238E27FC236}">
              <a16:creationId xmlns="" xmlns:a16="http://schemas.microsoft.com/office/drawing/2014/main" id="{7ED281A9-C104-464F-B3F5-2D756DADAC80}"/>
            </a:ext>
          </a:extLst>
        </xdr:cNvPr>
        <xdr:cNvPicPr>
          <a:picLocks noChangeAspect="1"/>
        </xdr:cNvPicPr>
      </xdr:nvPicPr>
      <xdr:blipFill>
        <a:blip xmlns:r="http://schemas.openxmlformats.org/officeDocument/2006/relationships" r:embed="rId3"/>
        <a:stretch>
          <a:fillRect/>
        </a:stretch>
      </xdr:blipFill>
      <xdr:spPr>
        <a:xfrm>
          <a:off x="111986" y="6711951"/>
          <a:ext cx="6294163" cy="2673349"/>
        </a:xfrm>
        <a:prstGeom prst="rect">
          <a:avLst/>
        </a:prstGeom>
      </xdr:spPr>
    </xdr:pic>
    <xdr:clientData/>
  </xdr:twoCellAnchor>
  <xdr:twoCellAnchor editAs="oneCell">
    <xdr:from>
      <xdr:col>0</xdr:col>
      <xdr:colOff>101600</xdr:colOff>
      <xdr:row>53</xdr:row>
      <xdr:rowOff>31750</xdr:rowOff>
    </xdr:from>
    <xdr:to>
      <xdr:col>10</xdr:col>
      <xdr:colOff>222250</xdr:colOff>
      <xdr:row>68</xdr:row>
      <xdr:rowOff>28468</xdr:rowOff>
    </xdr:to>
    <xdr:pic>
      <xdr:nvPicPr>
        <xdr:cNvPr id="5" name="图片 4">
          <a:extLst>
            <a:ext uri="{FF2B5EF4-FFF2-40B4-BE49-F238E27FC236}">
              <a16:creationId xmlns="" xmlns:a16="http://schemas.microsoft.com/office/drawing/2014/main" id="{B923F297-7D1F-4303-96D7-1EF58694EE0D}"/>
            </a:ext>
          </a:extLst>
        </xdr:cNvPr>
        <xdr:cNvPicPr>
          <a:picLocks noChangeAspect="1"/>
        </xdr:cNvPicPr>
      </xdr:nvPicPr>
      <xdr:blipFill>
        <a:blip xmlns:r="http://schemas.openxmlformats.org/officeDocument/2006/relationships" r:embed="rId4"/>
        <a:stretch>
          <a:fillRect/>
        </a:stretch>
      </xdr:blipFill>
      <xdr:spPr>
        <a:xfrm>
          <a:off x="101600" y="9455150"/>
          <a:ext cx="6216650" cy="2663718"/>
        </a:xfrm>
        <a:prstGeom prst="rect">
          <a:avLst/>
        </a:prstGeom>
      </xdr:spPr>
    </xdr:pic>
    <xdr:clientData/>
  </xdr:twoCellAnchor>
  <xdr:twoCellAnchor editAs="oneCell">
    <xdr:from>
      <xdr:col>0</xdr:col>
      <xdr:colOff>123549</xdr:colOff>
      <xdr:row>68</xdr:row>
      <xdr:rowOff>69850</xdr:rowOff>
    </xdr:from>
    <xdr:to>
      <xdr:col>10</xdr:col>
      <xdr:colOff>171450</xdr:colOff>
      <xdr:row>84</xdr:row>
      <xdr:rowOff>63899</xdr:rowOff>
    </xdr:to>
    <xdr:pic>
      <xdr:nvPicPr>
        <xdr:cNvPr id="6" name="图片 5">
          <a:extLst>
            <a:ext uri="{FF2B5EF4-FFF2-40B4-BE49-F238E27FC236}">
              <a16:creationId xmlns="" xmlns:a16="http://schemas.microsoft.com/office/drawing/2014/main" id="{C2EB52BB-06E5-4DB3-AA58-E9AEB8452E3D}"/>
            </a:ext>
          </a:extLst>
        </xdr:cNvPr>
        <xdr:cNvPicPr>
          <a:picLocks noChangeAspect="1"/>
        </xdr:cNvPicPr>
      </xdr:nvPicPr>
      <xdr:blipFill>
        <a:blip xmlns:r="http://schemas.openxmlformats.org/officeDocument/2006/relationships" r:embed="rId5"/>
        <a:stretch>
          <a:fillRect/>
        </a:stretch>
      </xdr:blipFill>
      <xdr:spPr>
        <a:xfrm>
          <a:off x="123549" y="12160250"/>
          <a:ext cx="6143901" cy="2838849"/>
        </a:xfrm>
        <a:prstGeom prst="rect">
          <a:avLst/>
        </a:prstGeom>
      </xdr:spPr>
    </xdr:pic>
    <xdr:clientData/>
  </xdr:twoCellAnchor>
  <xdr:twoCellAnchor editAs="oneCell">
    <xdr:from>
      <xdr:col>0</xdr:col>
      <xdr:colOff>131567</xdr:colOff>
      <xdr:row>84</xdr:row>
      <xdr:rowOff>165100</xdr:rowOff>
    </xdr:from>
    <xdr:to>
      <xdr:col>15</xdr:col>
      <xdr:colOff>102997</xdr:colOff>
      <xdr:row>110</xdr:row>
      <xdr:rowOff>139700</xdr:rowOff>
    </xdr:to>
    <xdr:pic>
      <xdr:nvPicPr>
        <xdr:cNvPr id="7" name="图片 6">
          <a:extLst>
            <a:ext uri="{FF2B5EF4-FFF2-40B4-BE49-F238E27FC236}">
              <a16:creationId xmlns="" xmlns:a16="http://schemas.microsoft.com/office/drawing/2014/main" id="{38D104AB-5E3F-4C69-A0CF-07B5B0448D6D}"/>
            </a:ext>
          </a:extLst>
        </xdr:cNvPr>
        <xdr:cNvPicPr>
          <a:picLocks noChangeAspect="1"/>
        </xdr:cNvPicPr>
      </xdr:nvPicPr>
      <xdr:blipFill>
        <a:blip xmlns:r="http://schemas.openxmlformats.org/officeDocument/2006/relationships" r:embed="rId6"/>
        <a:stretch>
          <a:fillRect/>
        </a:stretch>
      </xdr:blipFill>
      <xdr:spPr>
        <a:xfrm>
          <a:off x="131567" y="15100300"/>
          <a:ext cx="9115430" cy="4597400"/>
        </a:xfrm>
        <a:prstGeom prst="rect">
          <a:avLst/>
        </a:prstGeom>
      </xdr:spPr>
    </xdr:pic>
    <xdr:clientData/>
  </xdr:twoCellAnchor>
  <xdr:twoCellAnchor editAs="oneCell">
    <xdr:from>
      <xdr:col>10</xdr:col>
      <xdr:colOff>28575</xdr:colOff>
      <xdr:row>2</xdr:row>
      <xdr:rowOff>1</xdr:rowOff>
    </xdr:from>
    <xdr:to>
      <xdr:col>18</xdr:col>
      <xdr:colOff>484385</xdr:colOff>
      <xdr:row>17</xdr:row>
      <xdr:rowOff>89018</xdr:rowOff>
    </xdr:to>
    <xdr:pic>
      <xdr:nvPicPr>
        <xdr:cNvPr id="8" name="图片 7"/>
        <xdr:cNvPicPr>
          <a:picLocks noChangeAspect="1"/>
        </xdr:cNvPicPr>
      </xdr:nvPicPr>
      <xdr:blipFill>
        <a:blip xmlns:r="http://schemas.openxmlformats.org/officeDocument/2006/relationships" r:embed="rId7"/>
        <a:stretch>
          <a:fillRect/>
        </a:stretch>
      </xdr:blipFill>
      <xdr:spPr>
        <a:xfrm>
          <a:off x="6886575" y="342901"/>
          <a:ext cx="5942210" cy="2660767"/>
        </a:xfrm>
        <a:prstGeom prst="rect">
          <a:avLst/>
        </a:prstGeom>
      </xdr:spPr>
    </xdr:pic>
    <xdr:clientData/>
  </xdr:twoCellAnchor>
  <xdr:twoCellAnchor editAs="oneCell">
    <xdr:from>
      <xdr:col>10</xdr:col>
      <xdr:colOff>386934</xdr:colOff>
      <xdr:row>17</xdr:row>
      <xdr:rowOff>95251</xdr:rowOff>
    </xdr:from>
    <xdr:to>
      <xdr:col>19</xdr:col>
      <xdr:colOff>75214</xdr:colOff>
      <xdr:row>49</xdr:row>
      <xdr:rowOff>38101</xdr:rowOff>
    </xdr:to>
    <xdr:pic>
      <xdr:nvPicPr>
        <xdr:cNvPr id="9" name="图片 8"/>
        <xdr:cNvPicPr>
          <a:picLocks noChangeAspect="1"/>
        </xdr:cNvPicPr>
      </xdr:nvPicPr>
      <xdr:blipFill>
        <a:blip xmlns:r="http://schemas.openxmlformats.org/officeDocument/2006/relationships" r:embed="rId8"/>
        <a:stretch>
          <a:fillRect/>
        </a:stretch>
      </xdr:blipFill>
      <xdr:spPr>
        <a:xfrm>
          <a:off x="7244934" y="3009901"/>
          <a:ext cx="5860480" cy="54292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16;&#30719;&#37329;&#22530;&#22303;&#22320;&#65288;&#24029;&#31119;&#21495;&#26449;&#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Sheet2"/>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238146</v>
          </cell>
          <cell r="C14">
            <v>79382</v>
          </cell>
          <cell r="D14">
            <v>47545</v>
          </cell>
          <cell r="G14">
            <v>47545</v>
          </cell>
          <cell r="H14" t="str">
            <v>——</v>
          </cell>
          <cell r="I14" t="str">
            <v>——</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125" style="2843" customWidth="1"/>
    <col min="3" max="18" width="9" style="2837"/>
    <col min="19" max="19" width="17.875" style="2837" customWidth="1"/>
    <col min="20" max="51" width="9" style="2837"/>
    <col min="52" max="52" width="13.1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2651</v>
      </c>
      <c r="B1" s="2847" t="s">
        <v>2748</v>
      </c>
    </row>
    <row r="2" spans="1:55" s="2851" customFormat="1" ht="15" thickTop="1">
      <c r="A2" s="2849" t="s">
        <v>2655</v>
      </c>
      <c r="B2" s="2850" t="str">
        <f>'预评函-封皮'!B37</f>
        <v>成都市金堂县三星镇天灯村出让国有建设用地使用权抵押价格预评估</v>
      </c>
      <c r="AX2" s="2852"/>
      <c r="AZ2" s="2852"/>
      <c r="BA2" s="2853"/>
      <c r="BC2" s="2853"/>
    </row>
    <row r="3" spans="1:55" s="2854" customFormat="1">
      <c r="A3" s="2833" t="s">
        <v>2656</v>
      </c>
      <c r="B3" s="2836" t="str">
        <f>'预评函-封皮'!B40</f>
        <v>五矿国际信托有限公司</v>
      </c>
    </row>
    <row r="4" spans="1:55" s="2835" customFormat="1">
      <c r="A4" s="2833" t="s">
        <v>2657</v>
      </c>
      <c r="B4" s="2834" t="str">
        <f>'预评函-封皮'!B46</f>
        <v>土地估价师、土地估价师</v>
      </c>
      <c r="N4" s="2835" t="str">
        <f>'预评函-1'!A28</f>
        <v/>
      </c>
    </row>
    <row r="5" spans="1:55" s="2848" customFormat="1" ht="15" thickBot="1">
      <c r="A5" s="2855" t="s">
        <v>2658</v>
      </c>
      <c r="B5" s="2856" t="str">
        <f>'预评函-封皮'!B49</f>
        <v>康正预评字号</v>
      </c>
    </row>
    <row r="6" spans="1:55" s="2857" customFormat="1" ht="15" thickTop="1">
      <c r="A6" s="2849" t="s">
        <v>2700</v>
      </c>
      <c r="B6" s="2850" t="str">
        <f>'预评函-1'!A4</f>
        <v>受贵公司委托，我公司对成都市金堂县三星镇天灯村出让国有建设用地使用权抵押价格进行了预评估。</v>
      </c>
      <c r="AM6" s="2858"/>
    </row>
    <row r="7" spans="1:55" s="2832" customFormat="1">
      <c r="A7" s="2833" t="s">
        <v>2652</v>
      </c>
      <c r="B7" s="2834" t="str">
        <f>'预评函-1'!A6</f>
        <v>估价对象为成都宜居水城城乡交通建设投资有限公司使用的、位于成都市金堂县三星镇天灯村出让国有建设用地使用权。根据《国有土地使用证》[]，估价对象（分摊）出让国有建设用地使用权面积为103373.22平方米。根据《建设工程规划许可证》[]、《出让合同》[]，估价对象规划建筑面积为310119.66平方米。</v>
      </c>
    </row>
    <row r="8" spans="1:55" s="2832" customFormat="1">
      <c r="A8" s="2833" t="s">
        <v>2653</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2703</v>
      </c>
      <c r="B9" s="2834" t="str">
        <f>'预评函-1'!A9</f>
        <v>成都宜居水城城乡交通建设投资有限公司拟使用成都市金堂县三星镇天灯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55" s="2832" customFormat="1">
      <c r="A10" s="2833" t="s">
        <v>2654</v>
      </c>
      <c r="B10" s="2834" t="str">
        <f>'预评函-1'!A11</f>
        <v>2020年4月6日（评估专业人员勘察现场之日）</v>
      </c>
    </row>
    <row r="11" spans="1:55" s="2832" customFormat="1">
      <c r="A11" s="2833" t="s">
        <v>2660</v>
      </c>
      <c r="B11" s="2834" t="str">
        <f>'预评函-1'!A14</f>
        <v>根据《国有土地使用证》[]，本次评估估价对象证载（地类）用途为住宅。</v>
      </c>
    </row>
    <row r="12" spans="1:55" s="2832" customFormat="1">
      <c r="A12" s="2833" t="s">
        <v>2661</v>
      </c>
      <c r="B12" s="2834" t="str">
        <f>'预评函-1'!A15</f>
        <v>本次评估设定用途即为证载用途住宅。</v>
      </c>
    </row>
    <row r="13" spans="1:55" s="2832" customFormat="1">
      <c r="A13" s="2833" t="s">
        <v>2662</v>
      </c>
      <c r="B13" s="2834" t="str">
        <f>'预评函-1'!A17</f>
        <v>根据委托估价方介绍及评估专业人员现场勘查，本次评估估价对象实际土地开发程度为红线外市政基础设施达“六通”（即通路、通电、通讯、通上水、通下水、燃气）、宗地红线内场地平整。</v>
      </c>
    </row>
    <row r="14" spans="1:55" s="2832" customFormat="1">
      <c r="A14" s="2833" t="s">
        <v>2663</v>
      </c>
      <c r="B14" s="2834" t="str">
        <f>'预评函-1'!A18</f>
        <v>本次评估设定土地开发程度为红线外市政基础设施达“六通”、宗地红线内场地平整。</v>
      </c>
    </row>
    <row r="15" spans="1:55" s="2832" customFormat="1">
      <c r="A15" s="2833" t="s">
        <v>2659</v>
      </c>
      <c r="B15" s="2834" t="str">
        <f>'预评函-1'!A20</f>
        <v>根据《国有土地使用证》[]，估价对象（分摊）出让国有建设用地使用权面积为103373.22平方米。根据《建设工程规划许可证》[]、《出让合同》[]，估价对象规划建筑面积为310119.66平方米。</v>
      </c>
    </row>
    <row r="16" spans="1:55" s="2832" customFormat="1">
      <c r="A16" s="2833" t="s">
        <v>2664</v>
      </c>
      <c r="B16" s="2834" t="str">
        <f>'预评函-1'!A22</f>
        <v>本次估价对象为出让国有建设用地使用权，《国有土地使用证》[]证载土地终止日期为住宅2086年8月25日、商业2056年8月25日。截至估价期日，出让国有建设用地使用权剩余土地使用年限为。</v>
      </c>
    </row>
    <row r="17" spans="1:48" s="2832" customFormat="1">
      <c r="A17" s="2833" t="s">
        <v>2665</v>
      </c>
      <c r="B17" s="2834" t="str">
        <f>'预评函-1'!A23</f>
        <v>本次评估设定估价对象剩余土地使用年限为。</v>
      </c>
    </row>
    <row r="18" spans="1:48" s="2832" customFormat="1">
      <c r="A18" s="2833" t="s">
        <v>2666</v>
      </c>
      <c r="B18" s="2834" t="str">
        <f>'预评函-1'!A25</f>
        <v>本次估价的“出让国有建设用地使用权价格”是指在估价对象土地所有权为国家所有，使用权性质为出让，在公开市场条件下、于估价期日2020年4月6日，在规划利用条件下、设定土地开发程度为红线外“六通”、宗地内场地平整，设定用途为住宅，剩余土地使用年限为的出让国有建设用地使用权价格。</v>
      </c>
    </row>
    <row r="19" spans="1:48" s="2832" customFormat="1">
      <c r="A19" s="2833" t="s">
        <v>2667</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2668</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2669</v>
      </c>
      <c r="B21" s="2856" t="str">
        <f>'预评函-1'!A28</f>
        <v/>
      </c>
    </row>
    <row r="22" spans="1:48" ht="15" thickTop="1">
      <c r="A22" s="2844" t="s">
        <v>2670</v>
      </c>
      <c r="B22" s="284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3" t="s">
        <v>2671</v>
      </c>
      <c r="B23" s="2834" t="str">
        <f>'预评函-2'!K2</f>
        <v>估价期日：2020年4月6日</v>
      </c>
    </row>
    <row r="24" spans="1:48">
      <c r="A24" s="2833" t="s">
        <v>2672</v>
      </c>
      <c r="B24" s="2834" t="str">
        <f>'预评函-2'!R2</f>
        <v>估价期日的国有建设用地使用权性质：出让</v>
      </c>
    </row>
    <row r="25" spans="1:48">
      <c r="A25" s="2833" t="s">
        <v>2728</v>
      </c>
      <c r="B25" s="2834" t="str">
        <f>'预评函-2'!A3</f>
        <v>估价期日土地使用者</v>
      </c>
    </row>
    <row r="26" spans="1:48">
      <c r="A26" s="2833" t="s">
        <v>2704</v>
      </c>
      <c r="B26" s="2834" t="str">
        <f>'预评函-2'!A5</f>
        <v>中信开发</v>
      </c>
    </row>
    <row r="27" spans="1:48">
      <c r="A27" s="2833" t="s">
        <v>2729</v>
      </c>
      <c r="B27" s="2834" t="str">
        <f>'预评函-2'!B3</f>
        <v>宗地编号/不动产单元号</v>
      </c>
    </row>
    <row r="28" spans="1:48">
      <c r="A28" s="2833" t="s">
        <v>2705</v>
      </c>
      <c r="B28" s="2834" t="str">
        <f>'预评函-2'!B5</f>
        <v>11111111111</v>
      </c>
    </row>
    <row r="29" spans="1:48">
      <c r="A29" s="2833" t="s">
        <v>2731</v>
      </c>
      <c r="B29" s="2834">
        <f>'预评函-2'!C5</f>
        <v>22</v>
      </c>
    </row>
    <row r="30" spans="1:48">
      <c r="A30" s="2833" t="s">
        <v>2732</v>
      </c>
      <c r="B30" s="2834" t="str">
        <f>'预评函-2'!D3</f>
        <v>土地使用证编号/不动产权证书编号</v>
      </c>
    </row>
    <row r="31" spans="1:48">
      <c r="A31" s="2833" t="s">
        <v>2706</v>
      </c>
      <c r="B31" s="2834" t="str">
        <f>'预评函-2'!D5</f>
        <v>京国土字第111号</v>
      </c>
    </row>
    <row r="32" spans="1:48">
      <c r="A32" s="2833" t="s">
        <v>2707</v>
      </c>
      <c r="B32" s="2834" t="str">
        <f>'预评函-2'!E5</f>
        <v>住宅</v>
      </c>
      <c r="AV32" s="2838"/>
    </row>
    <row r="33" spans="1:2">
      <c r="A33" s="2833" t="s">
        <v>2708</v>
      </c>
      <c r="B33" s="2834">
        <f>'预评函-2'!F5</f>
        <v>258</v>
      </c>
    </row>
    <row r="34" spans="1:2">
      <c r="A34" s="2833" t="s">
        <v>2709</v>
      </c>
      <c r="B34" s="2834" t="str">
        <f>'预评函-2'!G5</f>
        <v>住宅</v>
      </c>
    </row>
    <row r="35" spans="1:2">
      <c r="A35" s="2833" t="s">
        <v>2710</v>
      </c>
      <c r="B35" s="2834">
        <f>'预评函-2'!H5</f>
        <v>1.5</v>
      </c>
    </row>
    <row r="36" spans="1:2">
      <c r="A36" s="2833" t="s">
        <v>2711</v>
      </c>
      <c r="B36" s="2834">
        <f>'预评函-2'!I5</f>
        <v>1.5</v>
      </c>
    </row>
    <row r="37" spans="1:2">
      <c r="A37" s="2833" t="s">
        <v>2712</v>
      </c>
      <c r="B37" s="2834">
        <f>'预评函-2'!J5</f>
        <v>1.5</v>
      </c>
    </row>
    <row r="38" spans="1:2">
      <c r="A38" s="2833" t="s">
        <v>2713</v>
      </c>
      <c r="B38" s="2834" t="str">
        <f>'预评函-2'!K5</f>
        <v>红线外六通、宗地红线内场地平整</v>
      </c>
    </row>
    <row r="39" spans="1:2">
      <c r="A39" s="2833" t="s">
        <v>2714</v>
      </c>
      <c r="B39" s="2834" t="str">
        <f>'预评函-2'!L5</f>
        <v>红线外六通、宗地红线内场地平整</v>
      </c>
    </row>
    <row r="40" spans="1:2">
      <c r="A40" s="2833" t="s">
        <v>2733</v>
      </c>
      <c r="B40" s="2834" t="str">
        <f>'预评函-2'!M3</f>
        <v>（剩余）土地使用年限/年</v>
      </c>
    </row>
    <row r="41" spans="1:2">
      <c r="A41" s="2833" t="s">
        <v>2715</v>
      </c>
      <c r="B41" s="2834">
        <f>'预评函-2'!M5</f>
        <v>0</v>
      </c>
    </row>
    <row r="42" spans="1:2">
      <c r="A42" s="2833" t="s">
        <v>2734</v>
      </c>
      <c r="B42" s="2834" t="str">
        <f>'预评函-2'!N3</f>
        <v>（分摊）出让国有建设用地使用权面积/㎡</v>
      </c>
    </row>
    <row r="43" spans="1:2">
      <c r="A43" s="2833" t="s">
        <v>2716</v>
      </c>
      <c r="B43" s="2834">
        <f>'预评函-2'!N5</f>
        <v>103373.22</v>
      </c>
    </row>
    <row r="44" spans="1:2">
      <c r="A44" s="2833" t="s">
        <v>2735</v>
      </c>
      <c r="B44" s="2834" t="str">
        <f>'预评函-2'!O3</f>
        <v>规划建筑面积/㎡</v>
      </c>
    </row>
    <row r="45" spans="1:2">
      <c r="A45" s="2833" t="s">
        <v>2717</v>
      </c>
      <c r="B45" s="2834">
        <f>'预评函-2'!O5</f>
        <v>310119.66000000003</v>
      </c>
    </row>
    <row r="46" spans="1:2">
      <c r="A46" s="2833" t="s">
        <v>2718</v>
      </c>
      <c r="B46" s="2834">
        <f ca="1">'预评函-2'!P5</f>
        <v>6101</v>
      </c>
    </row>
    <row r="47" spans="1:2">
      <c r="A47" s="2833" t="s">
        <v>2719</v>
      </c>
      <c r="B47" s="2834">
        <f ca="1">'预评函-2'!Q5</f>
        <v>2034</v>
      </c>
    </row>
    <row r="48" spans="1:2">
      <c r="A48" s="2833" t="s">
        <v>2720</v>
      </c>
      <c r="B48" s="2834">
        <f ca="1">'预评函-2'!R5</f>
        <v>63063</v>
      </c>
    </row>
    <row r="49" spans="1:2">
      <c r="A49" s="2833" t="s">
        <v>2736</v>
      </c>
      <c r="B49" s="2834" t="str">
        <f>'预评函-2'!A6</f>
        <v>抵押价格</v>
      </c>
    </row>
    <row r="50" spans="1:2">
      <c r="A50" s="2833" t="s">
        <v>2721</v>
      </c>
      <c r="B50" s="2834">
        <f ca="1">'预评函-2'!R6</f>
        <v>63063</v>
      </c>
    </row>
    <row r="51" spans="1:2">
      <c r="A51" s="2833" t="s">
        <v>2737</v>
      </c>
      <c r="B51" s="2834" t="str">
        <f>'预评函-2'!A7</f>
        <v>——</v>
      </c>
    </row>
    <row r="52" spans="1:2">
      <c r="A52" s="2833" t="s">
        <v>2722</v>
      </c>
      <c r="B52" s="2834" t="str">
        <f>'预评函-2'!R7</f>
        <v>——</v>
      </c>
    </row>
    <row r="53" spans="1:2">
      <c r="A53" s="2833" t="s">
        <v>2738</v>
      </c>
      <c r="B53" s="2834" t="str">
        <f>'预评函-2'!A8</f>
        <v>——</v>
      </c>
    </row>
    <row r="54" spans="1:2" s="2848" customFormat="1" ht="15" thickBot="1">
      <c r="A54" s="2855" t="s">
        <v>2723</v>
      </c>
      <c r="B54" s="2856" t="str">
        <f>'预评函-2'!R8</f>
        <v>——</v>
      </c>
    </row>
    <row r="55" spans="1:2" ht="15" thickTop="1">
      <c r="A55" s="2844" t="s">
        <v>2673</v>
      </c>
      <c r="B55" s="2845" t="str">
        <f>'预评函-3'!A2</f>
        <v>1.权利限制：根据估价对象《不动产权证书》复印件、《国有土地使用权》复印件，截至估价期日，估价对象抵押权未见登记。未设定租赁等其他他项权利。</v>
      </c>
    </row>
    <row r="56" spans="1:2">
      <c r="A56" s="2833" t="s">
        <v>2674</v>
      </c>
      <c r="B56" s="2834" t="str">
        <f>'预评函-3'!A3</f>
        <v>2.基础设施条件：估价对象实际开发程度为红线外六通、宗地红线内场地平整；本次评估设定开发程度为红线外六通、宗地红线内场地平整。</v>
      </c>
    </row>
    <row r="57" spans="1:2">
      <c r="A57" s="2833" t="s">
        <v>2675</v>
      </c>
      <c r="B57" s="2834" t="str">
        <f>'预评函-3'!A4</f>
        <v>3.估价规划限制条件：详见《建设工程规划许可证》[]、《出让合同》[]。</v>
      </c>
    </row>
    <row r="58" spans="1:2" s="2848" customFormat="1" ht="15" thickBot="1">
      <c r="A58" s="2855" t="s">
        <v>2724</v>
      </c>
      <c r="B58" s="2856" t="str">
        <f>'预评函-3'!A5</f>
        <v>4.影响价格的其他限定条件：无。</v>
      </c>
    </row>
    <row r="59" spans="1:2" ht="15" thickTop="1">
      <c r="A59" s="2844" t="s">
        <v>2676</v>
      </c>
      <c r="B59" s="2845" t="str">
        <f>'预评函-3'!A8</f>
        <v>2.本《评估意见函》仅供金融机构进行内部审核使用，不做其他目的之用。</v>
      </c>
    </row>
    <row r="60" spans="1:2">
      <c r="A60" s="2833" t="s">
        <v>2677</v>
      </c>
      <c r="B60" s="2834" t="str">
        <f>'预评函-3'!A9</f>
        <v>3.抵押双方在办理抵押登记手续时，应使用本公司出具的正式《土地估价报告》，特提请报告使用者注意。</v>
      </c>
    </row>
    <row r="61" spans="1:2">
      <c r="A61" s="2833" t="s">
        <v>2679</v>
      </c>
      <c r="B61" s="2834" t="str">
        <f>'预评函-3'!A10</f>
        <v>4.估价师所知悉的法定优先受偿款情况为：</v>
      </c>
    </row>
    <row r="62" spans="1:2">
      <c r="A62" s="2833" t="s">
        <v>2678</v>
      </c>
      <c r="B62" s="2834" t="str">
        <f>'预评函-3'!A11</f>
        <v>（1）根据估价对象《不动产权证书》复印件、《国有土地使用权》复印件，截至估价期日，估价对象抵押权未见登记。</v>
      </c>
    </row>
    <row r="63" spans="1:2">
      <c r="A63" s="2833" t="s">
        <v>2680</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2681</v>
      </c>
      <c r="B64" s="2839" t="str">
        <f>'预评函-3'!A13</f>
        <v>（3）。</v>
      </c>
    </row>
    <row r="65" spans="1:2">
      <c r="A65" s="2833" t="s">
        <v>2682</v>
      </c>
      <c r="B65" s="2840" t="str">
        <f>'预评函-3'!A14</f>
        <v>综上，本次评估不存在估价师知悉的法定优先受偿款</v>
      </c>
    </row>
    <row r="66" spans="1:2">
      <c r="A66" s="2833" t="s">
        <v>2683</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2684</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2687</v>
      </c>
      <c r="B68" s="2859">
        <f>'预评函-3'!D30</f>
        <v>42558</v>
      </c>
    </row>
    <row r="69" spans="1:2" ht="15" thickTop="1">
      <c r="A69" s="2844" t="s">
        <v>2685</v>
      </c>
      <c r="B69" s="2845" t="str">
        <f>'预评函-3'!A20</f>
        <v>土地估价师</v>
      </c>
    </row>
    <row r="70" spans="1:2">
      <c r="A70" s="2833" t="s">
        <v>2685</v>
      </c>
      <c r="B70" s="2840">
        <f>'预评函-3'!B20</f>
        <v>0</v>
      </c>
    </row>
    <row r="71" spans="1:2">
      <c r="A71" s="2833" t="s">
        <v>2686</v>
      </c>
      <c r="B71" s="2834" t="str">
        <f>'预评函-3'!A21</f>
        <v>土地估价师</v>
      </c>
    </row>
    <row r="72" spans="1:2" s="2848" customFormat="1" ht="15" thickBot="1">
      <c r="A72" s="2855" t="s">
        <v>2686</v>
      </c>
      <c r="B72" s="2861">
        <f>'预评函-3'!B21</f>
        <v>0</v>
      </c>
    </row>
    <row r="73" spans="1:2" ht="15" thickTop="1">
      <c r="A73" s="2844" t="s">
        <v>2745</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2746</v>
      </c>
      <c r="B74" s="2841" t="str">
        <f>'预评函-1 (储备)'!A18</f>
        <v>由于本次评估估价目的是评估储备国有建设用地使用权的“抵押价格”，因此本次评估设定土地开发程度为红线外市政基础设施达“六通”、宗地红线内场地平整。</v>
      </c>
    </row>
    <row r="75" spans="1:2" s="2848" customFormat="1" ht="15" thickBot="1">
      <c r="A75" s="2855" t="s">
        <v>2747</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2782</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1" customWidth="1"/>
    <col min="2" max="2" width="10.8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191" t="str">
        <f>项目基本情况!B1</f>
        <v>成都市金堂县三星镇天灯村出让国有建设用地使用权抵押价格预评估</v>
      </c>
      <c r="C37" s="3191"/>
      <c r="D37" s="3191"/>
      <c r="E37" s="3191"/>
      <c r="F37" s="3191"/>
      <c r="G37" s="3191"/>
      <c r="H37" s="3191"/>
      <c r="I37" s="3191"/>
    </row>
    <row r="38" spans="1:9">
      <c r="A38" s="1642"/>
      <c r="B38" s="1642"/>
    </row>
    <row r="39" spans="1:9">
      <c r="A39" s="1640" t="s">
        <v>1901</v>
      </c>
      <c r="B39" s="1640" t="s">
        <v>2043</v>
      </c>
    </row>
    <row r="40" spans="1:9">
      <c r="A40" s="1640"/>
      <c r="B40" s="1640" t="str">
        <f>项目基本情况!B5</f>
        <v>五矿国际信托有限公司</v>
      </c>
    </row>
    <row r="41" spans="1:9">
      <c r="A41" s="1640"/>
      <c r="B41" s="1640"/>
    </row>
    <row r="42" spans="1:9">
      <c r="A42" s="1640" t="s">
        <v>1901</v>
      </c>
      <c r="B42" s="1640" t="s">
        <v>2044</v>
      </c>
    </row>
    <row r="43" spans="1:9">
      <c r="A43" s="1640"/>
      <c r="B43" s="1640" t="s">
        <v>1903</v>
      </c>
    </row>
    <row r="44" spans="1:9">
      <c r="A44" s="1640"/>
      <c r="B44" s="1640"/>
    </row>
    <row r="45" spans="1:9">
      <c r="A45" s="1640" t="s">
        <v>1901</v>
      </c>
      <c r="B45" s="1640" t="s">
        <v>2042</v>
      </c>
    </row>
    <row r="46" spans="1:9" s="1640" customFormat="1" ht="12.75">
      <c r="B46" s="1640" t="str">
        <f>项目基本情况!K4</f>
        <v>土地估价师、土地估价师</v>
      </c>
    </row>
    <row r="47" spans="1:9">
      <c r="A47" s="1640"/>
      <c r="B47" s="1640"/>
    </row>
    <row r="48" spans="1:9">
      <c r="A48" s="1640" t="s">
        <v>1901</v>
      </c>
      <c r="B48" s="1640" t="s">
        <v>2045</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五矿国际信托有限公司：</v>
      </c>
    </row>
    <row r="4" spans="1:4" ht="37.5">
      <c r="A4" s="1777" t="str">
        <f>"受贵公司委托，我公司对"&amp;项目基本情况!K2&amp;项目基本情况!B9&amp;"进行了预评估。"</f>
        <v>受贵公司委托，我公司对成都市金堂县三星镇天灯村出让国有建设用地使用权抵押价格进行了预评估。</v>
      </c>
    </row>
    <row r="5" spans="1:4" ht="18.75">
      <c r="A5" s="1780" t="s">
        <v>1905</v>
      </c>
    </row>
    <row r="6" spans="1:4" ht="93.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成都宜居水城城乡交通建设投资有限公司使用的、位于成都市金堂县三星镇天灯村出让国有建设用地使用权。根据《国有土地使用证》[]，估价对象（分摊）出让国有建设用地使用权面积为103373.22平方米。根据《建设工程规划许可证》[]、《出让合同》[]，估价对象规划建筑面积为310119.66平方米。</v>
      </c>
    </row>
    <row r="7" spans="1:4" ht="56.25">
      <c r="A7" s="1781" t="s">
        <v>2742</v>
      </c>
    </row>
    <row r="8" spans="1:4" ht="18.75">
      <c r="A8" s="1780" t="s">
        <v>1906</v>
      </c>
    </row>
    <row r="9" spans="1:4" ht="93.75">
      <c r="A9" s="1782" t="str">
        <f>IF(项目基本情况!B8="抵押",IF(项目基本情况!B5=项目基本情况!B6,定义!C51,定义!B51),定义!D51)</f>
        <v>成都宜居水城城乡交通建设投资有限公司拟使用成都市金堂县三星镇天灯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83" t="s">
        <v>2023</v>
      </c>
    </row>
    <row r="11" spans="1:4" ht="18.75">
      <c r="A11" s="1766" t="str">
        <f>TEXT(项目基本情况!D3,"yyyy年m月d日;;")&amp;IF(项目基本情况!B3=项目基本情况!D3,"（评估专业人员勘察现场之日）","")</f>
        <v>2020年4月6日（评估专业人员勘察现场之日）</v>
      </c>
    </row>
    <row r="12" spans="1:4" ht="18.75">
      <c r="A12" s="1783" t="s">
        <v>2022</v>
      </c>
    </row>
    <row r="13" spans="1:4" ht="18.75">
      <c r="A13" s="1777" t="s">
        <v>2937</v>
      </c>
    </row>
    <row r="14" spans="1:4" ht="18.75">
      <c r="A14" s="1777" t="str">
        <f>"根据"&amp;项目基本情况!F12&amp;"，本次评估估价对象证载（地类）用途为"&amp;项目基本情况!B12&amp;"。"</f>
        <v>根据《国有土地使用证》[]，本次评估估价对象证载（地类）用途为住宅。</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1767"/>
      <c r="D15" s="1768"/>
    </row>
    <row r="16" spans="1:4" ht="18.75">
      <c r="A16" s="1777" t="s">
        <v>2069</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根据委托估价方介绍及评估专业人员现场勘查，本次评估估价对象实际土地开发程度为红线外市政基础设施达“六通”（即通路、通电、通讯、通上水、通下水、燃气）、宗地红线内场地平整。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本次评估设定土地开发程度为红线外市政基础设施达“六通”、宗地红线内场地平整。</v>
      </c>
    </row>
    <row r="19" spans="1:1" ht="18.75">
      <c r="A19" s="1777" t="s">
        <v>2070</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根据《国有土地使用证》[]，估价对象（分摊）出让国有建设用地使用权面积为103373.22平方米。根据《建设工程规划许可证》[]、《出让合同》[]，估价对象规划建筑面积为310119.66平方米。</v>
      </c>
    </row>
    <row r="21" spans="1:1" ht="18.75">
      <c r="A21" s="1777" t="s">
        <v>2071</v>
      </c>
    </row>
    <row r="22" spans="1:1" ht="56.2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本次估价对象为出让国有建设用地使用权，《国有土地使用证》[]证载土地终止日期为住宅2086年8月25日、商业2056年8月25日。截至估价期日，出让国有建设用地使用权剩余土地使用年限为。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2072</v>
      </c>
    </row>
    <row r="25" spans="1:1" ht="93.75">
      <c r="A25" s="1777" t="str">
        <f>定义!C53</f>
        <v>本次估价的“出让国有建设用地使用权价格”是指在估价对象土地所有权为国家所有，使用权性质为出让，在公开市场条件下、于估价期日2020年4月6日，在规划利用条件下、设定土地开发程度为红线外“六通”、宗地内场地平整，设定用途为住宅，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
      </c>
    </row>
    <row r="29" spans="1:1" ht="18.75">
      <c r="A29" s="1783" t="s">
        <v>2024</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2025</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五矿国际信托有限公司：</v>
      </c>
    </row>
    <row r="4" spans="1:4" ht="37.5">
      <c r="A4" s="1777" t="str">
        <f>"受贵公司委托，我公司对"&amp;项目基本情况!K2&amp;项目基本情况!B9&amp;"进行了预评估。"</f>
        <v>受贵公司委托，我公司对成都市金堂县三星镇天灯村出让国有建设用地使用权抵押价格进行了预评估。</v>
      </c>
    </row>
    <row r="5" spans="1:4" ht="18.75">
      <c r="A5" s="1780" t="s">
        <v>1905</v>
      </c>
    </row>
    <row r="6" spans="1:4" ht="93.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成都宜居水城城乡交通建设投资有限公司使用的、位于成都市金堂县三星镇天灯村出让国有建设用地使用权。根据《国有土地使用证》[]，估价对象（分摊）出让国有建设用地使用权面积为103373.22平方米。根据《建设工程规划许可证》[]、《出让合同》[]，估价对象规划建筑面积为310119.66平方米。</v>
      </c>
    </row>
    <row r="7" spans="1:4" ht="93.75">
      <c r="A7" s="2829" t="s">
        <v>2743</v>
      </c>
    </row>
    <row r="8" spans="1:4" ht="18.75">
      <c r="A8" s="1780" t="s">
        <v>1906</v>
      </c>
    </row>
    <row r="9" spans="1:4" ht="93.75">
      <c r="A9" s="1782" t="str">
        <f>IF(项目基本情况!B8="抵押",IF(项目基本情况!B5=项目基本情况!B6,定义!C51,定义!B51),定义!D51)</f>
        <v>成都宜居水城城乡交通建设投资有限公司拟使用成都市金堂县三星镇天灯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83" t="s">
        <v>2023</v>
      </c>
    </row>
    <row r="11" spans="1:4" ht="18.75">
      <c r="A11" s="1766" t="str">
        <f>TEXT(项目基本情况!D3,"yyyy年m月d日;;")&amp;IF(项目基本情况!B3=项目基本情况!D3,"（评估专业人员勘察现场之日）","")</f>
        <v>2020年4月6日（评估专业人员勘察现场之日）</v>
      </c>
    </row>
    <row r="12" spans="1:4" ht="18.75">
      <c r="A12" s="1783" t="s">
        <v>2022</v>
      </c>
    </row>
    <row r="13" spans="1:4" ht="18.75">
      <c r="A13" s="1777" t="s">
        <v>2068</v>
      </c>
    </row>
    <row r="14" spans="1:4" ht="18.75">
      <c r="A14" s="1777" t="str">
        <f>"根据"&amp;项目基本情况!F12&amp;"，本次评估估价对象证载（地类）用途为"&amp;项目基本情况!B12&amp;"。"</f>
        <v>根据《国有土地使用证》[]，本次评估估价对象证载（地类）用途为住宅。</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1767"/>
      <c r="D15" s="1768"/>
    </row>
    <row r="16" spans="1:4" ht="18.75">
      <c r="A16" s="1777" t="s">
        <v>2069</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根据委托估价方介绍及评估专业人员现场勘查，本次评估估价对象实际土地开发程度为红线外市政基础设施达“六通”（即通路、通电、通讯、通上水、通下水、燃气）、宗地红线内场地平整。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由于本次评估估价目的是评估储备国有建设用地使用权的“抵押价格”，因此本次评估设定土地开发程度为红线外市政基础设施达“六通”、宗地红线内场地平整。</v>
      </c>
    </row>
    <row r="19" spans="1:1" ht="18.75">
      <c r="A19" s="1777" t="s">
        <v>2070</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根据《国有土地使用证》[]，估价对象（分摊）出让国有建设用地使用权面积为103373.22平方米。根据《建设工程规划许可证》[]、《出让合同》[]，估价对象规划建筑面积为310119.66平方米。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2071</v>
      </c>
    </row>
    <row r="23" spans="1:1" ht="18.75">
      <c r="A23" s="2831" t="s">
        <v>2744</v>
      </c>
    </row>
    <row r="24" spans="1:1" ht="18.75">
      <c r="A24" s="1777" t="s">
        <v>2072</v>
      </c>
    </row>
    <row r="25" spans="1:1" ht="93.75">
      <c r="A25" s="1777" t="str">
        <f>定义!C53</f>
        <v>本次估价的“出让国有建设用地使用权价格”是指在估价对象土地所有权为国家所有，使用权性质为出让，在公开市场条件下、于估价期日2020年4月6日，在规划利用条件下、设定土地开发程度为红线外“六通”、宗地内场地平整，设定用途为住宅，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
      </c>
    </row>
    <row r="29" spans="1:1" ht="18.75">
      <c r="A29" s="1783" t="s">
        <v>2024</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2025</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192" t="s">
        <v>2035</v>
      </c>
      <c r="B1" s="3192"/>
      <c r="C1" s="3192"/>
      <c r="D1" s="3192"/>
      <c r="E1" s="3192"/>
      <c r="F1" s="3192"/>
      <c r="G1" s="3192"/>
      <c r="H1" s="3192"/>
      <c r="I1" s="3192"/>
      <c r="J1" s="3192"/>
      <c r="K1" s="3192"/>
      <c r="L1" s="3192"/>
      <c r="M1" s="3192"/>
      <c r="N1" s="3192"/>
      <c r="O1" s="3192"/>
      <c r="P1" s="3192"/>
      <c r="Q1" s="3192"/>
      <c r="R1" s="3192"/>
    </row>
    <row r="2" spans="1:18">
      <c r="A2" s="1793" t="s">
        <v>2037</v>
      </c>
      <c r="B2" s="1793"/>
      <c r="C2" s="1793"/>
      <c r="D2" s="1793"/>
      <c r="E2" s="1793"/>
      <c r="F2" s="1793"/>
      <c r="G2" s="1793"/>
      <c r="H2" s="1793"/>
      <c r="I2" s="1794"/>
      <c r="J2" s="1794"/>
      <c r="K2" s="1795" t="str">
        <f>"估价期日："&amp;TEXT(项目基本情况!D3,"yyyy年m月d日;;")</f>
        <v>估价期日：2020年4月6日</v>
      </c>
      <c r="L2" s="1793"/>
      <c r="M2" s="1793"/>
      <c r="N2" s="1793"/>
      <c r="O2" s="1793"/>
      <c r="P2" s="1793"/>
      <c r="Q2" s="1793"/>
      <c r="R2" s="1795" t="str">
        <f>"估价期日的国有建设用地使用权性质："&amp;项目基本情况!B16</f>
        <v>估价期日的国有建设用地使用权性质：出让</v>
      </c>
    </row>
    <row r="3" spans="1:18" ht="23.25" customHeight="1">
      <c r="A3" s="3193" t="s">
        <v>2026</v>
      </c>
      <c r="B3" s="3193" t="s">
        <v>2726</v>
      </c>
      <c r="C3" s="3194" t="s">
        <v>2027</v>
      </c>
      <c r="D3" s="3193" t="s">
        <v>2730</v>
      </c>
      <c r="E3" s="3196" t="s">
        <v>2028</v>
      </c>
      <c r="F3" s="3196"/>
      <c r="G3" s="3196"/>
      <c r="H3" s="3196" t="s">
        <v>2029</v>
      </c>
      <c r="I3" s="3196"/>
      <c r="J3" s="3196"/>
      <c r="K3" s="3194" t="s">
        <v>2030</v>
      </c>
      <c r="L3" s="3194" t="s">
        <v>2031</v>
      </c>
      <c r="M3" s="3193" t="s">
        <v>2727</v>
      </c>
      <c r="N3" s="3195" t="str">
        <f>"（分摊）"&amp;项目基本情况!B16&amp;"国有建设用地使用权面积/㎡"</f>
        <v>（分摊）出让国有建设用地使用权面积/㎡</v>
      </c>
      <c r="O3" s="3193" t="s">
        <v>2060</v>
      </c>
      <c r="P3" s="3194" t="s">
        <v>2040</v>
      </c>
      <c r="Q3" s="3194" t="s">
        <v>2061</v>
      </c>
      <c r="R3" s="3194" t="s">
        <v>2032</v>
      </c>
    </row>
    <row r="4" spans="1:18" ht="36.75" customHeight="1">
      <c r="A4" s="3193"/>
      <c r="B4" s="3193"/>
      <c r="C4" s="3194"/>
      <c r="D4" s="3193"/>
      <c r="E4" s="2614" t="s">
        <v>2039</v>
      </c>
      <c r="F4" s="2614" t="s">
        <v>2739</v>
      </c>
      <c r="G4" s="2614" t="s">
        <v>2033</v>
      </c>
      <c r="H4" s="2614" t="s">
        <v>2034</v>
      </c>
      <c r="I4" s="2614" t="s">
        <v>2740</v>
      </c>
      <c r="J4" s="2614" t="s">
        <v>2033</v>
      </c>
      <c r="K4" s="3194"/>
      <c r="L4" s="3194"/>
      <c r="M4" s="3193"/>
      <c r="N4" s="3195"/>
      <c r="O4" s="3193"/>
      <c r="P4" s="3194"/>
      <c r="Q4" s="3194"/>
      <c r="R4" s="3194"/>
    </row>
    <row r="5" spans="1:18" ht="135" customHeight="1">
      <c r="A5" s="1929" t="s">
        <v>2650</v>
      </c>
      <c r="B5" s="2823" t="s">
        <v>2648</v>
      </c>
      <c r="C5" s="2613">
        <v>22</v>
      </c>
      <c r="D5" s="2612" t="s">
        <v>2649</v>
      </c>
      <c r="E5" s="1796" t="str">
        <f>项目基本情况!B12</f>
        <v>住宅</v>
      </c>
      <c r="F5" s="2612">
        <v>258</v>
      </c>
      <c r="G5" s="1796" t="str">
        <f>项目基本情况!B13</f>
        <v>住宅</v>
      </c>
      <c r="H5" s="2612">
        <v>1.5</v>
      </c>
      <c r="I5" s="2612">
        <v>1.5</v>
      </c>
      <c r="J5" s="2612">
        <v>1.5</v>
      </c>
      <c r="K5" s="1796" t="str">
        <f>"红线外"&amp;项目基本情况!T40&amp;"、宗地红线内"&amp;项目基本情况!B35</f>
        <v>红线外六通、宗地红线内场地平整</v>
      </c>
      <c r="L5" s="1796" t="str">
        <f>"红线外"&amp;项目基本情况!T40&amp;"、宗地红线内场地"&amp;项目基本情况!D36</f>
        <v>红线外六通、宗地红线内场地平整</v>
      </c>
      <c r="M5" s="1796">
        <f>IF(项目基本情况!B16="出让",项目基本情况!D20,"——")</f>
        <v>0</v>
      </c>
      <c r="N5" s="1796">
        <f>项目基本情况!C22</f>
        <v>103373.22</v>
      </c>
      <c r="O5" s="1796">
        <f>项目基本情况!C21</f>
        <v>310119.66000000003</v>
      </c>
      <c r="P5" s="1796">
        <f ca="1">结果表!E42</f>
        <v>6101</v>
      </c>
      <c r="Q5" s="1796">
        <f ca="1">结果表!D42</f>
        <v>2034</v>
      </c>
      <c r="R5" s="1797">
        <f ca="1">结果表!C42</f>
        <v>63063</v>
      </c>
    </row>
    <row r="6" spans="1:18">
      <c r="A6" s="3197" t="str">
        <f>IF(项目基本情况!B9="市场价格","——","抵押价格")</f>
        <v>抵押价格</v>
      </c>
      <c r="B6" s="3198"/>
      <c r="C6" s="3198"/>
      <c r="D6" s="3198"/>
      <c r="E6" s="3198"/>
      <c r="F6" s="3198"/>
      <c r="G6" s="3198"/>
      <c r="H6" s="3198"/>
      <c r="I6" s="3198"/>
      <c r="J6" s="3198"/>
      <c r="K6" s="3198"/>
      <c r="L6" s="3198"/>
      <c r="M6" s="3198"/>
      <c r="N6" s="3198"/>
      <c r="O6" s="3198"/>
      <c r="P6" s="3198"/>
      <c r="Q6" s="3199"/>
      <c r="R6" s="1798">
        <f ca="1">结果表!O39</f>
        <v>63063</v>
      </c>
    </row>
    <row r="7" spans="1:18">
      <c r="A7" s="3197" t="str">
        <f>IF(项目基本情况!B9="市场价格","——",IF(项目基本情况!E8="已注销及未注销","抵押担保权已注销时的抵押价格","——"))</f>
        <v>——</v>
      </c>
      <c r="B7" s="3198"/>
      <c r="C7" s="3198"/>
      <c r="D7" s="3198"/>
      <c r="E7" s="3198"/>
      <c r="F7" s="3198"/>
      <c r="G7" s="3198"/>
      <c r="H7" s="3198"/>
      <c r="I7" s="3198"/>
      <c r="J7" s="3198"/>
      <c r="K7" s="3198"/>
      <c r="L7" s="3198"/>
      <c r="M7" s="3198"/>
      <c r="N7" s="3198"/>
      <c r="O7" s="3198"/>
      <c r="P7" s="3198"/>
      <c r="Q7" s="3199"/>
      <c r="R7" s="1798" t="str">
        <f>结果表!O40</f>
        <v>——</v>
      </c>
    </row>
    <row r="8" spans="1:18">
      <c r="A8" s="3197" t="str">
        <f>IF(项目基本情况!B9="市场价格","——",项目基本情况!E9)</f>
        <v>——</v>
      </c>
      <c r="B8" s="3198"/>
      <c r="C8" s="3198"/>
      <c r="D8" s="3198"/>
      <c r="E8" s="3198"/>
      <c r="F8" s="3198"/>
      <c r="G8" s="3198"/>
      <c r="H8" s="3198"/>
      <c r="I8" s="3198"/>
      <c r="J8" s="3198"/>
      <c r="K8" s="3198"/>
      <c r="L8" s="3198"/>
      <c r="M8" s="3198"/>
      <c r="N8" s="3198"/>
      <c r="O8" s="3198"/>
      <c r="P8" s="3198"/>
      <c r="Q8" s="3199"/>
      <c r="R8" s="1798" t="str">
        <f>结果表!O41</f>
        <v>——</v>
      </c>
    </row>
    <row r="9" spans="1:18">
      <c r="A9" s="1799" t="s">
        <v>2038</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2025</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875" style="1788" customWidth="1"/>
    <col min="2" max="3" width="21.375" style="1788" customWidth="1"/>
    <col min="4" max="4" width="19.875" style="1788" customWidth="1"/>
    <col min="5" max="16384" width="9" style="1788"/>
  </cols>
  <sheetData>
    <row r="1" spans="1:4">
      <c r="A1" s="3201" t="s">
        <v>2062</v>
      </c>
      <c r="B1" s="3201"/>
      <c r="C1" s="3201"/>
      <c r="D1" s="3201"/>
    </row>
    <row r="2" spans="1:4" ht="47.25" customHeight="1">
      <c r="A2" s="3202" t="str">
        <f>"1.权利限制："&amp;项目基本情况!L24&amp;"未设定租赁等其他他项权利。"</f>
        <v>1.权利限制：根据估价对象《不动产权证书》复印件、《国有土地使用权》复印件，截至估价期日，估价对象抵押权未见登记。未设定租赁等其他他项权利。</v>
      </c>
      <c r="B2" s="3202"/>
      <c r="C2" s="3202"/>
      <c r="D2" s="3202"/>
    </row>
    <row r="3" spans="1:4" ht="48" customHeight="1">
      <c r="A3" s="3201" t="str">
        <f>"2.基础设施条件：估价对象实际开发程度为"&amp;'预评函-2'!K5&amp;"；本次评估设定开发程度为"&amp;'预评函-2'!L5&amp;"。"</f>
        <v>2.基础设施条件：估价对象实际开发程度为红线外六通、宗地红线内场地平整；本次评估设定开发程度为红线外六通、宗地红线内场地平整。</v>
      </c>
      <c r="B3" s="3201"/>
      <c r="C3" s="3201"/>
      <c r="D3" s="3201"/>
    </row>
    <row r="4" spans="1:4" ht="36.75" customHeight="1">
      <c r="A4" s="3201" t="str">
        <f>"3.估价规划限制条件：详见"&amp;项目基本情况!E21&amp;"。"</f>
        <v>3.估价规划限制条件：详见《建设工程规划许可证》[]、《出让合同》[]。</v>
      </c>
      <c r="B4" s="3201"/>
      <c r="C4" s="3201"/>
      <c r="D4" s="3201"/>
    </row>
    <row r="5" spans="1:4">
      <c r="A5" s="3200" t="s">
        <v>2063</v>
      </c>
      <c r="B5" s="3200"/>
      <c r="C5" s="3200"/>
      <c r="D5" s="3200"/>
    </row>
    <row r="6" spans="1:4">
      <c r="A6" s="3201" t="s">
        <v>2041</v>
      </c>
      <c r="B6" s="3201"/>
      <c r="C6" s="3201"/>
      <c r="D6" s="3201"/>
    </row>
    <row r="7" spans="1:4" ht="33" customHeight="1">
      <c r="A7" s="3201" t="s">
        <v>2570</v>
      </c>
      <c r="B7" s="3201"/>
      <c r="C7" s="3201"/>
      <c r="D7" s="3201"/>
    </row>
    <row r="8" spans="1:4" ht="32.25" customHeight="1">
      <c r="A8" s="320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1"/>
      <c r="C8" s="3201"/>
      <c r="D8" s="3201"/>
    </row>
    <row r="9" spans="1:4" ht="33.75" customHeight="1">
      <c r="A9" s="320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1"/>
      <c r="C9" s="3201"/>
      <c r="D9" s="3201"/>
    </row>
    <row r="10" spans="1:4">
      <c r="A10" s="3201" t="str">
        <f>IF(项目基本情况!B8="抵押","4.估价师所知悉的法定优先受偿款情况为：","——")</f>
        <v>4.估价师所知悉的法定优先受偿款情况为：</v>
      </c>
      <c r="B10" s="3201"/>
      <c r="C10" s="3201"/>
      <c r="D10" s="3201"/>
    </row>
    <row r="11" spans="1:4" ht="37.5" customHeight="1">
      <c r="A11" s="3203" t="str">
        <f>IF(项目基本情况!B8="抵押","（1）"&amp;CONCATENATE(项目基本情况!L24,项目基本情况!L25,项目基本情况!L26),"——")</f>
        <v>（1）根据估价对象《不动产权证书》复印件、《国有土地使用权》复印件，截至估价期日，估价对象抵押权未见登记。</v>
      </c>
      <c r="B11" s="3203"/>
      <c r="C11" s="3203"/>
      <c r="D11" s="3203"/>
    </row>
    <row r="12" spans="1:4" ht="168" customHeight="1">
      <c r="A12" s="3200" t="s">
        <v>2065</v>
      </c>
      <c r="B12" s="3200"/>
      <c r="C12" s="3200"/>
      <c r="D12" s="3200"/>
    </row>
    <row r="13" spans="1:4">
      <c r="A13" s="3204" t="s">
        <v>2741</v>
      </c>
      <c r="B13" s="3204"/>
      <c r="C13" s="3204"/>
      <c r="D13" s="3204"/>
    </row>
    <row r="14" spans="1:4">
      <c r="A14" s="3203" t="str">
        <f>IF(项目基本情况!B8="抵押","综上，"&amp;结果表!K47,"——")</f>
        <v>综上，本次评估不存在估价师知悉的法定优先受偿款</v>
      </c>
      <c r="B14" s="3203"/>
      <c r="C14" s="3203"/>
      <c r="D14" s="3203"/>
    </row>
    <row r="15" spans="1:4" ht="58.5" customHeight="1">
      <c r="A15" s="320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1"/>
      <c r="C15" s="3201"/>
      <c r="D15" s="3201"/>
    </row>
    <row r="16" spans="1:4" ht="70.5" customHeight="1">
      <c r="A16" s="320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1"/>
      <c r="C16" s="3201"/>
      <c r="D16" s="3201"/>
    </row>
    <row r="17" spans="1:4">
      <c r="A17" s="3201" t="s">
        <v>2697</v>
      </c>
      <c r="B17" s="3201"/>
      <c r="C17" s="3201"/>
      <c r="D17" s="3201"/>
    </row>
    <row r="18" spans="1:4">
      <c r="A18" s="3201" t="s">
        <v>2689</v>
      </c>
      <c r="B18" s="3201"/>
      <c r="C18" s="3201"/>
      <c r="D18" s="3201"/>
    </row>
    <row r="19" spans="1:4">
      <c r="A19" s="2824" t="s">
        <v>2690</v>
      </c>
      <c r="B19" s="2824" t="s">
        <v>2691</v>
      </c>
      <c r="C19" s="2824" t="s">
        <v>2692</v>
      </c>
      <c r="D19" s="2824" t="s">
        <v>2693</v>
      </c>
    </row>
    <row r="20" spans="1:4">
      <c r="A20" s="2824" t="str">
        <f>项目基本情况!B4</f>
        <v>土地估价师</v>
      </c>
      <c r="B20" s="2824">
        <f>项目基本情况!C4</f>
        <v>0</v>
      </c>
      <c r="C20" s="2826"/>
      <c r="D20" s="1786" t="s">
        <v>2698</v>
      </c>
    </row>
    <row r="21" spans="1:4">
      <c r="A21" s="2824" t="str">
        <f>项目基本情况!D4</f>
        <v>土地估价师</v>
      </c>
      <c r="B21" s="2824">
        <f>项目基本情况!E4</f>
        <v>0</v>
      </c>
      <c r="C21" s="2826"/>
      <c r="D21" s="1786" t="s">
        <v>2699</v>
      </c>
    </row>
    <row r="23" spans="1:4">
      <c r="A23" s="3201" t="s">
        <v>2694</v>
      </c>
      <c r="B23" s="3201"/>
      <c r="C23" s="3201"/>
      <c r="D23" s="3201"/>
    </row>
    <row r="24" spans="1:4">
      <c r="A24" s="2824" t="s">
        <v>2690</v>
      </c>
      <c r="B24" s="2824" t="s">
        <v>2695</v>
      </c>
      <c r="C24" s="2824" t="s">
        <v>2692</v>
      </c>
      <c r="D24" s="2824" t="s">
        <v>2693</v>
      </c>
    </row>
    <row r="25" spans="1:4">
      <c r="A25" s="2827" t="s">
        <v>2696</v>
      </c>
      <c r="B25" s="2824" t="s">
        <v>952</v>
      </c>
      <c r="C25" s="2826"/>
      <c r="D25" s="1786" t="s">
        <v>2699</v>
      </c>
    </row>
    <row r="29" spans="1:4">
      <c r="D29" s="2825" t="s">
        <v>2036</v>
      </c>
    </row>
    <row r="30" spans="1:4">
      <c r="D30" s="2828">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12" t="s">
        <v>53</v>
      </c>
      <c r="B15" s="3213" t="s">
        <v>846</v>
      </c>
      <c r="C15" s="3209"/>
    </row>
    <row r="16" spans="1:7" ht="14.25">
      <c r="A16" s="3212"/>
      <c r="B16" s="3210" t="s">
        <v>54</v>
      </c>
      <c r="C16" s="1168" t="s">
        <v>53</v>
      </c>
    </row>
    <row r="17" spans="1:3" ht="14.25">
      <c r="A17" s="3212"/>
      <c r="B17" s="3210"/>
      <c r="C17" s="1168" t="s">
        <v>55</v>
      </c>
    </row>
    <row r="18" spans="1:3" ht="14.25">
      <c r="A18" s="3212"/>
      <c r="B18" s="3210"/>
      <c r="C18" s="1168" t="s">
        <v>56</v>
      </c>
    </row>
    <row r="19" spans="1:3" ht="14.25">
      <c r="A19" s="3212"/>
      <c r="B19" s="3208" t="s">
        <v>57</v>
      </c>
      <c r="C19" s="3209"/>
    </row>
    <row r="20" spans="1:3" ht="14.25">
      <c r="A20" s="1169" t="s">
        <v>58</v>
      </c>
      <c r="B20" s="1170"/>
      <c r="C20" s="1171"/>
    </row>
    <row r="21" spans="1:3" ht="14.25">
      <c r="A21" s="3211" t="s">
        <v>59</v>
      </c>
      <c r="B21" s="3208" t="s">
        <v>60</v>
      </c>
      <c r="C21" s="3209"/>
    </row>
    <row r="22" spans="1:3" ht="14.25">
      <c r="A22" s="3211"/>
      <c r="B22" s="3208" t="s">
        <v>61</v>
      </c>
      <c r="C22" s="3209"/>
    </row>
    <row r="23" spans="1:3" ht="14.25">
      <c r="A23" s="3211"/>
      <c r="B23" s="3208" t="s">
        <v>62</v>
      </c>
      <c r="C23" s="3209"/>
    </row>
    <row r="24" spans="1:3" ht="14.25">
      <c r="A24" s="3211"/>
      <c r="B24" s="3214" t="s">
        <v>63</v>
      </c>
      <c r="C24" s="1172" t="s">
        <v>837</v>
      </c>
    </row>
    <row r="25" spans="1:3" ht="14.25">
      <c r="A25" s="3211"/>
      <c r="B25" s="3215"/>
      <c r="C25" s="1172" t="s">
        <v>838</v>
      </c>
    </row>
    <row r="26" spans="1:3" ht="14.25">
      <c r="A26" s="3211"/>
      <c r="B26" s="3215"/>
      <c r="C26" s="1172" t="s">
        <v>839</v>
      </c>
    </row>
    <row r="27" spans="1:3" ht="14.25">
      <c r="A27" s="3211"/>
      <c r="B27" s="3215"/>
      <c r="C27" s="1172" t="s">
        <v>840</v>
      </c>
    </row>
    <row r="28" spans="1:3" ht="14.25">
      <c r="A28" s="3211"/>
      <c r="B28" s="3215"/>
      <c r="C28" s="1172" t="s">
        <v>841</v>
      </c>
    </row>
    <row r="29" spans="1:3" ht="14.25">
      <c r="A29" s="3211"/>
      <c r="B29" s="3215"/>
      <c r="C29" s="1172" t="s">
        <v>842</v>
      </c>
    </row>
    <row r="30" spans="1:3" ht="14.25">
      <c r="A30" s="3211"/>
      <c r="B30" s="3215"/>
      <c r="C30" s="1172" t="s">
        <v>843</v>
      </c>
    </row>
    <row r="31" spans="1:3" ht="14.25">
      <c r="A31" s="3211"/>
      <c r="B31" s="3215"/>
      <c r="C31" s="1172" t="s">
        <v>844</v>
      </c>
    </row>
    <row r="32" spans="1:3" ht="14.25">
      <c r="A32" s="3211"/>
      <c r="B32" s="3215"/>
      <c r="C32" s="1172" t="s">
        <v>1646</v>
      </c>
    </row>
    <row r="33" spans="1:3" ht="14.25">
      <c r="A33" s="3211"/>
      <c r="B33" s="3205" t="s">
        <v>1652</v>
      </c>
      <c r="C33" s="1172" t="s">
        <v>1647</v>
      </c>
    </row>
    <row r="34" spans="1:3" ht="14.25">
      <c r="A34" s="3211"/>
      <c r="B34" s="3206"/>
      <c r="C34" s="1177" t="s">
        <v>1648</v>
      </c>
    </row>
    <row r="35" spans="1:3" ht="14.25">
      <c r="A35" s="3211"/>
      <c r="B35" s="3206"/>
      <c r="C35" s="1178" t="s">
        <v>1649</v>
      </c>
    </row>
    <row r="36" spans="1:3" ht="14.25">
      <c r="A36" s="3211"/>
      <c r="B36" s="3206"/>
      <c r="C36" s="1178" t="s">
        <v>1650</v>
      </c>
    </row>
    <row r="37" spans="1:3" ht="14.25">
      <c r="A37" s="3211"/>
      <c r="B37" s="3207"/>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A76" sqref="A76:B76"/>
    </sheetView>
  </sheetViews>
  <sheetFormatPr defaultColWidth="22.625" defaultRowHeight="20.25" customHeight="1"/>
  <cols>
    <col min="1" max="1" width="24.875" style="3130" customWidth="1"/>
    <col min="2" max="5" width="22.625" style="3130"/>
    <col min="6" max="6" width="25.625" style="3130" customWidth="1"/>
    <col min="7" max="16384" width="22.625" style="3130"/>
  </cols>
  <sheetData>
    <row r="2" spans="1:6" ht="20.25" customHeight="1">
      <c r="A2" s="3127" t="s">
        <v>1907</v>
      </c>
      <c r="B2" s="3128">
        <f ca="1">TODAY()</f>
        <v>43929</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t="str">
        <f ca="1">IF(C4&lt;B2,"已过期",1119970066)</f>
        <v>已过期</v>
      </c>
      <c r="C4" s="3134">
        <v>43849</v>
      </c>
      <c r="D4" s="3132" t="s">
        <v>1914</v>
      </c>
      <c r="E4" s="3132">
        <f ca="1">IF(F4&lt;B2,"已过期",96010014)</f>
        <v>96010014</v>
      </c>
      <c r="F4" s="3135">
        <v>47118</v>
      </c>
    </row>
    <row r="5" spans="1:6" ht="20.25" customHeight="1">
      <c r="A5" s="3132"/>
      <c r="B5" s="3132"/>
      <c r="C5" s="3134"/>
      <c r="D5" s="3132"/>
      <c r="E5" s="3132"/>
      <c r="F5" s="3135"/>
    </row>
    <row r="6" spans="1:6" ht="20.25" customHeight="1">
      <c r="A6" s="3132" t="s">
        <v>1915</v>
      </c>
      <c r="B6" s="3132">
        <f ca="1">IF(C6&lt;B2,"已过期",1119970111)</f>
        <v>1119970111</v>
      </c>
      <c r="C6" s="3134">
        <v>44876</v>
      </c>
      <c r="D6" s="3132" t="s">
        <v>1915</v>
      </c>
      <c r="E6" s="3132">
        <f ca="1">IF(F6&lt;B2,"已过期",94010078)</f>
        <v>94010078</v>
      </c>
      <c r="F6" s="3135">
        <v>46387</v>
      </c>
    </row>
    <row r="7" spans="1:6" ht="20.25" customHeight="1">
      <c r="A7" s="3132" t="s">
        <v>1916</v>
      </c>
      <c r="B7" s="3132">
        <f ca="1">IF(C7&lt;B2,"已过期",1120050019)</f>
        <v>1120050019</v>
      </c>
      <c r="C7" s="3134">
        <v>44395</v>
      </c>
      <c r="D7" s="3132" t="s">
        <v>1916</v>
      </c>
      <c r="E7" s="3132">
        <f ca="1">IF(F7&lt;B2,"已过期",2002110030)</f>
        <v>2002110030</v>
      </c>
      <c r="F7" s="3135">
        <v>46387</v>
      </c>
    </row>
    <row r="8" spans="1:6" ht="20.25" customHeight="1">
      <c r="A8" s="3132" t="s">
        <v>1917</v>
      </c>
      <c r="B8" s="3132" t="str">
        <f ca="1">IF(C8&lt;B2,"已过期",1120000080)</f>
        <v>已过期</v>
      </c>
      <c r="C8" s="3134">
        <v>43849</v>
      </c>
      <c r="D8" s="3132" t="s">
        <v>1917</v>
      </c>
      <c r="E8" s="3132">
        <f ca="1">IF(F8&lt;B2,"已过期",2000110082)</f>
        <v>2000110082</v>
      </c>
      <c r="F8" s="3135">
        <v>46387</v>
      </c>
    </row>
    <row r="9" spans="1:6" ht="20.25" customHeight="1">
      <c r="A9" s="3132" t="s">
        <v>1918</v>
      </c>
      <c r="B9" s="3132" t="str">
        <f ca="1">IF(C9&lt;B2,"已过期",1419970001)</f>
        <v>已过期</v>
      </c>
      <c r="C9" s="3134">
        <v>43867</v>
      </c>
      <c r="D9" s="3132" t="s">
        <v>1918</v>
      </c>
      <c r="E9" s="3132">
        <f ca="1">IF(F9&lt;B2,"已过期",2002110125)</f>
        <v>2002110125</v>
      </c>
      <c r="F9" s="3135">
        <v>47118</v>
      </c>
    </row>
    <row r="10" spans="1:6" ht="20.25" customHeight="1">
      <c r="A10" s="3132" t="s">
        <v>1919</v>
      </c>
      <c r="B10" s="3132">
        <f ca="1">IF(C10&lt;B2,"已过期",1120060040)</f>
        <v>1120060040</v>
      </c>
      <c r="C10" s="3134">
        <v>44554</v>
      </c>
      <c r="D10" s="3132" t="s">
        <v>1919</v>
      </c>
      <c r="E10" s="3132">
        <f ca="1">IF(F10&lt;B2,"已过期",2004110096)</f>
        <v>2004110096</v>
      </c>
      <c r="F10" s="3135">
        <v>47118</v>
      </c>
    </row>
    <row r="11" spans="1:6" ht="20.25" customHeight="1">
      <c r="A11" s="3132" t="s">
        <v>1920</v>
      </c>
      <c r="B11" s="3132">
        <f ca="1">IF(C11&lt;B2,"已过期",1120100036)</f>
        <v>1120100036</v>
      </c>
      <c r="C11" s="3134">
        <v>44675</v>
      </c>
      <c r="D11" s="3132" t="s">
        <v>1920</v>
      </c>
      <c r="E11" s="3132">
        <f ca="1">IF(F11&lt;B2,"已过期",2010110070)</f>
        <v>2010110070</v>
      </c>
      <c r="F11" s="3135">
        <v>47907</v>
      </c>
    </row>
    <row r="12" spans="1:6" ht="20.25" customHeight="1">
      <c r="A12" s="3132"/>
      <c r="B12" s="3132"/>
      <c r="C12" s="3134"/>
      <c r="D12" s="3132"/>
      <c r="E12" s="3132"/>
      <c r="F12" s="3135"/>
    </row>
    <row r="13" spans="1:6" ht="20.25" customHeight="1">
      <c r="A13" s="3132" t="s">
        <v>1921</v>
      </c>
      <c r="B13" s="3132">
        <f ca="1">IF(C13&lt;B2,"已过期",1120070131)</f>
        <v>1120070131</v>
      </c>
      <c r="C13" s="3134">
        <v>44849</v>
      </c>
      <c r="D13" s="3132" t="s">
        <v>1921</v>
      </c>
      <c r="E13" s="3132">
        <f ca="1">IF(F13&lt;B2,"已过期",2014110011)</f>
        <v>2014110011</v>
      </c>
      <c r="F13" s="3135">
        <v>49302</v>
      </c>
    </row>
    <row r="14" spans="1:6" ht="20.25" customHeight="1">
      <c r="A14" s="3132" t="s">
        <v>2976</v>
      </c>
      <c r="B14" s="3132">
        <f ca="1">IF(C14&lt;B2,"已过期",1120040230)</f>
        <v>1120040230</v>
      </c>
      <c r="C14" s="3136">
        <v>44864</v>
      </c>
      <c r="D14" s="3137" t="s">
        <v>2977</v>
      </c>
      <c r="E14" s="3132">
        <f ca="1">IF(F14&lt;B2,"已过期",98030020)</f>
        <v>98030020</v>
      </c>
      <c r="F14" s="3135">
        <v>47118</v>
      </c>
    </row>
    <row r="15" spans="1:6" ht="20.25" customHeight="1">
      <c r="A15" s="3132"/>
      <c r="B15" s="3132"/>
      <c r="C15" s="3136"/>
      <c r="D15" s="3132"/>
      <c r="E15" s="3132"/>
      <c r="F15" s="3138"/>
    </row>
    <row r="16" spans="1:6" ht="20.25" customHeight="1">
      <c r="A16" s="3132"/>
      <c r="B16" s="3132"/>
      <c r="C16" s="3134"/>
      <c r="D16" s="3132"/>
      <c r="E16" s="3132"/>
      <c r="F16" s="3135"/>
    </row>
    <row r="17" spans="1:7" ht="20.25" customHeight="1">
      <c r="A17" s="3132"/>
      <c r="B17" s="3132"/>
      <c r="C17" s="3134"/>
      <c r="D17" s="3137"/>
      <c r="E17" s="3132"/>
      <c r="F17" s="3135"/>
    </row>
    <row r="18" spans="1:7" ht="20.25" customHeight="1">
      <c r="A18" s="3132" t="s">
        <v>2990</v>
      </c>
      <c r="B18" s="3132">
        <v>1120190079</v>
      </c>
      <c r="C18" s="3134">
        <v>44826</v>
      </c>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1922</v>
      </c>
      <c r="E21" s="3132">
        <f ca="1">IF(F21&lt;B2,"已过期",2011110090)</f>
        <v>2011110090</v>
      </c>
      <c r="F21" s="3135">
        <v>48302</v>
      </c>
    </row>
    <row r="22" spans="1:7" ht="20.25" customHeight="1">
      <c r="A22" s="3132" t="s">
        <v>1923</v>
      </c>
      <c r="B22" s="3132">
        <f ca="1">IF(C22&lt;B2,"已过期",1120020033)</f>
        <v>1120020033</v>
      </c>
      <c r="C22" s="3134">
        <v>44339</v>
      </c>
      <c r="D22" s="3132" t="s">
        <v>1923</v>
      </c>
      <c r="E22" s="3132">
        <f ca="1">IF(F22&lt;B2,"已过期",2000110137)</f>
        <v>2000110137</v>
      </c>
      <c r="F22" s="3135">
        <v>46387</v>
      </c>
    </row>
    <row r="23" spans="1:7" ht="20.25" customHeight="1">
      <c r="A23" s="3132" t="s">
        <v>2992</v>
      </c>
      <c r="B23" s="3132">
        <v>1119980106</v>
      </c>
      <c r="C23" s="3134">
        <v>43916</v>
      </c>
      <c r="D23" s="3132"/>
      <c r="E23" s="3132"/>
      <c r="F23" s="3132"/>
    </row>
    <row r="24" spans="1:7" s="3140" customFormat="1" ht="20.25" customHeight="1">
      <c r="A24" s="3131" t="s">
        <v>2050</v>
      </c>
      <c r="B24" s="3131" t="s">
        <v>2050</v>
      </c>
      <c r="C24" s="3134"/>
      <c r="D24" s="3139" t="s">
        <v>2050</v>
      </c>
      <c r="E24" s="3131" t="s">
        <v>2050</v>
      </c>
      <c r="F24" s="3138"/>
    </row>
    <row r="25" spans="1:7" ht="20.25" customHeight="1">
      <c r="A25" s="3216" t="s">
        <v>1924</v>
      </c>
      <c r="B25" s="3216"/>
      <c r="C25" s="3216"/>
      <c r="D25" s="3216"/>
      <c r="E25" s="3216"/>
      <c r="F25" s="3216"/>
      <c r="G25" s="3216"/>
    </row>
    <row r="26" spans="1:7" ht="20.25" customHeight="1">
      <c r="A26" s="3217" t="s">
        <v>1925</v>
      </c>
      <c r="B26" s="3217"/>
      <c r="C26" s="3217"/>
      <c r="D26" s="3217" t="s">
        <v>1926</v>
      </c>
      <c r="E26" s="3217"/>
      <c r="F26" s="3217"/>
    </row>
    <row r="27" spans="1:7" s="3127" customFormat="1" ht="20.25" customHeight="1">
      <c r="A27" s="3141" t="s">
        <v>1927</v>
      </c>
      <c r="B27" s="3142" t="s">
        <v>1928</v>
      </c>
      <c r="C27" s="3142" t="s">
        <v>1929</v>
      </c>
      <c r="D27" s="3132" t="s">
        <v>1927</v>
      </c>
      <c r="E27" s="3142" t="s">
        <v>1928</v>
      </c>
      <c r="F27" s="3142" t="s">
        <v>1929</v>
      </c>
    </row>
    <row r="28" spans="1:7" s="3127" customFormat="1" ht="20.25" customHeight="1">
      <c r="A28" s="3143" t="s">
        <v>1930</v>
      </c>
      <c r="B28" s="3143" t="s">
        <v>1931</v>
      </c>
      <c r="C28" s="3135">
        <v>44820</v>
      </c>
      <c r="D28" s="3143" t="s">
        <v>1932</v>
      </c>
      <c r="E28" s="3143" t="s">
        <v>1933</v>
      </c>
      <c r="F28" s="3144">
        <v>44377</v>
      </c>
    </row>
    <row r="29" spans="1:7" s="3127" customFormat="1" ht="20.25" customHeight="1">
      <c r="A29" s="3143"/>
      <c r="B29" s="3143"/>
      <c r="C29" s="3145"/>
      <c r="D29" s="3143" t="s">
        <v>1934</v>
      </c>
      <c r="E29" s="3143" t="s">
        <v>2991</v>
      </c>
      <c r="F29" s="3144">
        <v>44012</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20" priority="137">
      <formula>AND($C24-TODAY()&lt;30,TODAY()&lt;$C24)</formula>
    </cfRule>
  </conditionalFormatting>
  <conditionalFormatting sqref="C28">
    <cfRule type="expression" dxfId="219" priority="136">
      <formula>AND($C28-TODAY()&lt;30,TODAY()&lt;$C28)</formula>
    </cfRule>
  </conditionalFormatting>
  <conditionalFormatting sqref="C28 F4">
    <cfRule type="cellIs" dxfId="218" priority="138" stopIfTrue="1" operator="lessThan">
      <formula>$B$2</formula>
    </cfRule>
  </conditionalFormatting>
  <conditionalFormatting sqref="F5">
    <cfRule type="cellIs" dxfId="217" priority="134" stopIfTrue="1" operator="lessThan">
      <formula>$B$2</formula>
    </cfRule>
  </conditionalFormatting>
  <conditionalFormatting sqref="F6 F8 F10">
    <cfRule type="cellIs" dxfId="216" priority="132" stopIfTrue="1" operator="lessThan">
      <formula>$B$2</formula>
    </cfRule>
  </conditionalFormatting>
  <conditionalFormatting sqref="C24:D24">
    <cfRule type="expression" dxfId="215" priority="130">
      <formula>AND($C24-TODAY()&lt;30,TODAY()&lt;$C24)</formula>
    </cfRule>
  </conditionalFormatting>
  <conditionalFormatting sqref="F7 F9 F11 C24:D24">
    <cfRule type="cellIs" dxfId="214" priority="131" stopIfTrue="1" operator="lessThan">
      <formula>$B$2</formula>
    </cfRule>
  </conditionalFormatting>
  <conditionalFormatting sqref="F22">
    <cfRule type="cellIs" dxfId="213" priority="102" stopIfTrue="1" operator="lessThan">
      <formula>$B$2</formula>
    </cfRule>
  </conditionalFormatting>
  <conditionalFormatting sqref="F21">
    <cfRule type="cellIs" dxfId="212" priority="101" stopIfTrue="1" operator="lessThan">
      <formula>$B$2</formula>
    </cfRule>
  </conditionalFormatting>
  <conditionalFormatting sqref="B4:B11 E4:E11 E19:E23 B17 B13 E13 B19:B23">
    <cfRule type="cellIs" dxfId="211" priority="99" stopIfTrue="1" operator="equal">
      <formula>"已过期"</formula>
    </cfRule>
  </conditionalFormatting>
  <conditionalFormatting sqref="F28">
    <cfRule type="cellIs" dxfId="210" priority="96" stopIfTrue="1" operator="lessThan">
      <formula>$B$2</formula>
    </cfRule>
  </conditionalFormatting>
  <conditionalFormatting sqref="F28">
    <cfRule type="expression" dxfId="209" priority="140">
      <formula>AND($E28-TODAY()&lt;30,TODAY()&lt;$E28)</formula>
    </cfRule>
  </conditionalFormatting>
  <conditionalFormatting sqref="C5">
    <cfRule type="expression" dxfId="208" priority="91">
      <formula>AND($C5-TODAY()&lt;30,TODAY()&lt;$C5)</formula>
    </cfRule>
  </conditionalFormatting>
  <conditionalFormatting sqref="C5">
    <cfRule type="cellIs" dxfId="207" priority="92" stopIfTrue="1" operator="lessThan">
      <formula>$B$2</formula>
    </cfRule>
  </conditionalFormatting>
  <conditionalFormatting sqref="C4:C6">
    <cfRule type="expression" dxfId="206" priority="89">
      <formula>AND($C4-TODAY()&lt;30,TODAY()&lt;$C4)</formula>
    </cfRule>
  </conditionalFormatting>
  <conditionalFormatting sqref="C4:C6">
    <cfRule type="cellIs" dxfId="205" priority="90" stopIfTrue="1" operator="lessThan">
      <formula>$B$2</formula>
    </cfRule>
  </conditionalFormatting>
  <conditionalFormatting sqref="C8:C9">
    <cfRule type="expression" dxfId="204" priority="87">
      <formula>AND($C8-TODAY()&lt;30,TODAY()&lt;$C8)</formula>
    </cfRule>
  </conditionalFormatting>
  <conditionalFormatting sqref="C8:C9">
    <cfRule type="cellIs" dxfId="203" priority="88" stopIfTrue="1" operator="lessThan">
      <formula>$B$2</formula>
    </cfRule>
  </conditionalFormatting>
  <conditionalFormatting sqref="C7">
    <cfRule type="expression" dxfId="202" priority="70">
      <formula>AND($C7-TODAY()&lt;30,TODAY()&lt;$C7)</formula>
    </cfRule>
  </conditionalFormatting>
  <conditionalFormatting sqref="C7">
    <cfRule type="cellIs" dxfId="201" priority="71" stopIfTrue="1" operator="lessThan">
      <formula>$B$2</formula>
    </cfRule>
  </conditionalFormatting>
  <conditionalFormatting sqref="C13 C23 C17 C19:C21">
    <cfRule type="expression" dxfId="200" priority="68">
      <formula>AND($C13-TODAY()&lt;30,TODAY()&lt;$C13)</formula>
    </cfRule>
  </conditionalFormatting>
  <conditionalFormatting sqref="C13 C23 C17 C19:C21">
    <cfRule type="cellIs" dxfId="199" priority="69" stopIfTrue="1" operator="lessThan">
      <formula>$B$2</formula>
    </cfRule>
  </conditionalFormatting>
  <conditionalFormatting sqref="F13">
    <cfRule type="cellIs" dxfId="198" priority="67" stopIfTrue="1" operator="lessThan">
      <formula>$B$2</formula>
    </cfRule>
  </conditionalFormatting>
  <conditionalFormatting sqref="F12">
    <cfRule type="cellIs" dxfId="197" priority="59" stopIfTrue="1" operator="lessThan">
      <formula>$B$2</formula>
    </cfRule>
  </conditionalFormatting>
  <conditionalFormatting sqref="B12 E12">
    <cfRule type="cellIs" dxfId="196" priority="58" stopIfTrue="1" operator="equal">
      <formula>"已过期"</formula>
    </cfRule>
  </conditionalFormatting>
  <conditionalFormatting sqref="C12">
    <cfRule type="expression" dxfId="195" priority="56">
      <formula>AND($C12-TODAY()&lt;30,TODAY()&lt;$C12)</formula>
    </cfRule>
  </conditionalFormatting>
  <conditionalFormatting sqref="C12">
    <cfRule type="cellIs" dxfId="194" priority="57" stopIfTrue="1" operator="lessThan">
      <formula>$B$2</formula>
    </cfRule>
  </conditionalFormatting>
  <conditionalFormatting sqref="C22">
    <cfRule type="expression" dxfId="193" priority="48">
      <formula>AND($C22-TODAY()&lt;30,TODAY()&lt;$C22)</formula>
    </cfRule>
  </conditionalFormatting>
  <conditionalFormatting sqref="C22">
    <cfRule type="cellIs" dxfId="192" priority="49" stopIfTrue="1" operator="lessThan">
      <formula>$B$2</formula>
    </cfRule>
  </conditionalFormatting>
  <conditionalFormatting sqref="C16">
    <cfRule type="expression" dxfId="191" priority="46">
      <formula>AND($C16-TODAY()&lt;30,TODAY()&lt;$C16)</formula>
    </cfRule>
  </conditionalFormatting>
  <conditionalFormatting sqref="C16">
    <cfRule type="cellIs" dxfId="190" priority="47" stopIfTrue="1" operator="lessThan">
      <formula>$B$2</formula>
    </cfRule>
  </conditionalFormatting>
  <conditionalFormatting sqref="C16">
    <cfRule type="expression" dxfId="189" priority="44">
      <formula>AND($C16-TODAY()&lt;30,TODAY()&lt;$C16)</formula>
    </cfRule>
  </conditionalFormatting>
  <conditionalFormatting sqref="C16">
    <cfRule type="cellIs" dxfId="188" priority="45" stopIfTrue="1" operator="lessThan">
      <formula>$B$2</formula>
    </cfRule>
  </conditionalFormatting>
  <conditionalFormatting sqref="B16">
    <cfRule type="cellIs" dxfId="187" priority="43" stopIfTrue="1" operator="equal">
      <formula>"已过期"</formula>
    </cfRule>
  </conditionalFormatting>
  <conditionalFormatting sqref="C14:C15">
    <cfRule type="expression" dxfId="186" priority="41">
      <formula>AND($C14-TODAY()&lt;30,TODAY()&lt;$C14)</formula>
    </cfRule>
  </conditionalFormatting>
  <conditionalFormatting sqref="C14:C15">
    <cfRule type="cellIs" dxfId="185" priority="42" stopIfTrue="1" operator="lessThan">
      <formula>$B$2</formula>
    </cfRule>
  </conditionalFormatting>
  <conditionalFormatting sqref="C14">
    <cfRule type="expression" dxfId="184" priority="39">
      <formula>AND($C14-TODAY()&lt;30,TODAY()&lt;$C14)</formula>
    </cfRule>
  </conditionalFormatting>
  <conditionalFormatting sqref="C14">
    <cfRule type="cellIs" dxfId="183" priority="40" stopIfTrue="1" operator="lessThan">
      <formula>$B$2</formula>
    </cfRule>
  </conditionalFormatting>
  <conditionalFormatting sqref="C15">
    <cfRule type="expression" dxfId="182" priority="37">
      <formula>AND($C15-TODAY()&lt;30,TODAY()&lt;$C15)</formula>
    </cfRule>
  </conditionalFormatting>
  <conditionalFormatting sqref="C15">
    <cfRule type="cellIs" dxfId="181" priority="38" stopIfTrue="1" operator="lessThan">
      <formula>$B$2</formula>
    </cfRule>
  </conditionalFormatting>
  <conditionalFormatting sqref="B14">
    <cfRule type="cellIs" dxfId="180" priority="36" stopIfTrue="1" operator="equal">
      <formula>"已过期"</formula>
    </cfRule>
  </conditionalFormatting>
  <conditionalFormatting sqref="B15">
    <cfRule type="cellIs" dxfId="179" priority="35" stopIfTrue="1" operator="equal">
      <formula>"已过期"</formula>
    </cfRule>
  </conditionalFormatting>
  <conditionalFormatting sqref="A15">
    <cfRule type="cellIs" dxfId="178" priority="34" stopIfTrue="1" operator="equal">
      <formula>"已过期"</formula>
    </cfRule>
  </conditionalFormatting>
  <conditionalFormatting sqref="C15">
    <cfRule type="expression" dxfId="177" priority="33">
      <formula>AND($C15-TODAY()&lt;30,TODAY()&lt;$C15)</formula>
    </cfRule>
  </conditionalFormatting>
  <conditionalFormatting sqref="F16">
    <cfRule type="cellIs" dxfId="176" priority="32" stopIfTrue="1" operator="lessThan">
      <formula>$B$2</formula>
    </cfRule>
  </conditionalFormatting>
  <conditionalFormatting sqref="E16">
    <cfRule type="cellIs" dxfId="175" priority="31" stopIfTrue="1" operator="equal">
      <formula>"已过期"</formula>
    </cfRule>
  </conditionalFormatting>
  <conditionalFormatting sqref="E15">
    <cfRule type="cellIs" dxfId="174" priority="30" stopIfTrue="1" operator="equal">
      <formula>"已过期"</formula>
    </cfRule>
  </conditionalFormatting>
  <conditionalFormatting sqref="D15">
    <cfRule type="cellIs" dxfId="173" priority="29" stopIfTrue="1" operator="equal">
      <formula>"已过期"</formula>
    </cfRule>
  </conditionalFormatting>
  <conditionalFormatting sqref="F17">
    <cfRule type="cellIs" dxfId="172" priority="28" stopIfTrue="1" operator="lessThan">
      <formula>$B$2</formula>
    </cfRule>
  </conditionalFormatting>
  <conditionalFormatting sqref="E17">
    <cfRule type="cellIs" dxfId="171" priority="27" stopIfTrue="1" operator="equal">
      <formula>"已过期"</formula>
    </cfRule>
  </conditionalFormatting>
  <conditionalFormatting sqref="E14">
    <cfRule type="cellIs" dxfId="170" priority="26" stopIfTrue="1" operator="equal">
      <formula>"已过期"</formula>
    </cfRule>
  </conditionalFormatting>
  <conditionalFormatting sqref="F14">
    <cfRule type="cellIs" dxfId="169" priority="25" stopIfTrue="1" operator="lessThan">
      <formula>$B$2</formula>
    </cfRule>
  </conditionalFormatting>
  <conditionalFormatting sqref="C10:C11">
    <cfRule type="expression" dxfId="168" priority="21">
      <formula>AND($C10-TODAY()&lt;30,TODAY()&lt;$C10)</formula>
    </cfRule>
  </conditionalFormatting>
  <conditionalFormatting sqref="C10:C11">
    <cfRule type="cellIs" dxfId="167" priority="22" stopIfTrue="1" operator="lessThan">
      <formula>$B$2</formula>
    </cfRule>
  </conditionalFormatting>
  <conditionalFormatting sqref="C18">
    <cfRule type="expression" dxfId="166" priority="10">
      <formula>AND($C18-TODAY()&lt;30,TODAY()&lt;$C18)</formula>
    </cfRule>
  </conditionalFormatting>
  <conditionalFormatting sqref="C18">
    <cfRule type="cellIs" dxfId="165" priority="11" stopIfTrue="1" operator="lessThan">
      <formula>$B$2</formula>
    </cfRule>
  </conditionalFormatting>
  <conditionalFormatting sqref="C18">
    <cfRule type="expression" dxfId="164" priority="8">
      <formula>AND($C18-TODAY()&lt;30,TODAY()&lt;$C18)</formula>
    </cfRule>
  </conditionalFormatting>
  <conditionalFormatting sqref="C18">
    <cfRule type="cellIs" dxfId="163" priority="9" stopIfTrue="1" operator="lessThan">
      <formula>$B$2</formula>
    </cfRule>
  </conditionalFormatting>
  <conditionalFormatting sqref="B18">
    <cfRule type="cellIs" dxfId="162" priority="7" stopIfTrue="1" operator="equal">
      <formula>"已过期"</formula>
    </cfRule>
  </conditionalFormatting>
  <conditionalFormatting sqref="F18">
    <cfRule type="cellIs" dxfId="161" priority="6" stopIfTrue="1" operator="lessThan">
      <formula>$B$2</formula>
    </cfRule>
  </conditionalFormatting>
  <conditionalFormatting sqref="E18">
    <cfRule type="cellIs" dxfId="160" priority="5" stopIfTrue="1" operator="equal">
      <formula>"已过期"</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1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2541</v>
      </c>
      <c r="R1" s="2547" t="s">
        <v>2535</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2536</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2537</v>
      </c>
      <c r="S3" s="9" t="s">
        <v>84</v>
      </c>
      <c r="T3" s="9" t="s">
        <v>85</v>
      </c>
      <c r="U3" s="9" t="s">
        <v>84</v>
      </c>
      <c r="V3" s="9" t="s">
        <v>86</v>
      </c>
      <c r="W3" s="9" t="s">
        <v>876</v>
      </c>
    </row>
    <row r="4" spans="1:23">
      <c r="A4" s="8" t="s">
        <v>87</v>
      </c>
      <c r="B4" s="8" t="s">
        <v>152</v>
      </c>
      <c r="C4" s="1538" t="s">
        <v>1711</v>
      </c>
      <c r="D4" s="9" t="s">
        <v>1991</v>
      </c>
      <c r="E4" s="9" t="s">
        <v>88</v>
      </c>
      <c r="F4" s="9" t="s">
        <v>89</v>
      </c>
      <c r="G4" s="9">
        <v>70</v>
      </c>
      <c r="H4" s="9" t="s">
        <v>90</v>
      </c>
      <c r="I4" s="9" t="s">
        <v>91</v>
      </c>
      <c r="K4" s="9" t="s">
        <v>92</v>
      </c>
      <c r="L4" s="9" t="s">
        <v>92</v>
      </c>
      <c r="M4" s="9" t="s">
        <v>92</v>
      </c>
      <c r="N4" s="9" t="s">
        <v>92</v>
      </c>
      <c r="O4" s="9" t="s">
        <v>92</v>
      </c>
      <c r="P4" s="1006" t="s">
        <v>760</v>
      </c>
      <c r="Q4" s="9" t="s">
        <v>92</v>
      </c>
      <c r="R4" s="1006" t="s">
        <v>2538</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2539</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2540</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2950</v>
      </c>
      <c r="C18" s="1541"/>
    </row>
    <row r="19" spans="1:3">
      <c r="A19" s="8" t="s">
        <v>120</v>
      </c>
      <c r="B19" s="3065" t="s">
        <v>2958</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1940</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五矿国际信托有限公司）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成都宜居水城城乡交通建设投资有限公司拟使用成都市金堂县三星镇天灯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1983</v>
      </c>
      <c r="B52" s="1754" t="s">
        <v>1984</v>
      </c>
      <c r="C52" s="1752" t="s">
        <v>1985</v>
      </c>
      <c r="D52" s="1752" t="s">
        <v>1986</v>
      </c>
      <c r="E52" s="1753"/>
    </row>
    <row r="53" spans="1:5">
      <c r="A53" s="3218" t="s">
        <v>1987</v>
      </c>
      <c r="B53" s="1752" t="s">
        <v>1993</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4月6日，在规划利用条件下、设定土地开发程度为红线外“六通”、宗地内场地平整，设定用途为住宅，剩余土地使用年限为的出让国有建设用地使用权价格。</v>
      </c>
      <c r="D53" s="1753"/>
      <c r="E53" s="1753"/>
    </row>
    <row r="54" spans="1:5">
      <c r="A54" s="3218"/>
      <c r="B54" s="1752" t="s">
        <v>1994</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18"/>
      <c r="B55" s="1752" t="s">
        <v>1988</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18"/>
      <c r="B56" s="1752" t="s">
        <v>1989</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18"/>
      <c r="B57" s="1752" t="s">
        <v>1990</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2046</v>
      </c>
      <c r="B58" s="1752" t="s">
        <v>2047</v>
      </c>
      <c r="C58" s="11" t="s">
        <v>2048</v>
      </c>
      <c r="D58" s="1315" t="s">
        <v>2049</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Normal="100" zoomScaleSheetLayoutView="100" workbookViewId="0">
      <selection activeCell="E19" sqref="E19"/>
    </sheetView>
  </sheetViews>
  <sheetFormatPr defaultColWidth="10" defaultRowHeight="14.25"/>
  <cols>
    <col min="1" max="1" width="15.375" style="1675" customWidth="1"/>
    <col min="2" max="2" width="11.375" style="1675" customWidth="1"/>
    <col min="3" max="3" width="12.625" style="1675" customWidth="1"/>
    <col min="4" max="4" width="11.5"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1935</v>
      </c>
      <c r="B1" s="3234" t="str">
        <f>IF(B10="北京市","北京市",C10)&amp;F10&amp;B16&amp;"国有建设用地使用权"&amp;B9&amp;"预评估"</f>
        <v>成都市金堂县三星镇天灯村出让国有建设用地使用权抵押价格预评估</v>
      </c>
      <c r="C1" s="3235"/>
      <c r="D1" s="3235"/>
      <c r="E1" s="3235"/>
      <c r="F1" s="3235"/>
      <c r="G1" s="3235"/>
      <c r="H1" s="3235"/>
      <c r="I1" s="3236"/>
      <c r="J1" s="1678"/>
      <c r="K1" s="2419" t="str">
        <f>IF(B10="北京市","北京市",C10)&amp;F10&amp;B16&amp;"国有建设用地使用权"&amp;B9</f>
        <v>成都市金堂县三星镇天灯村出让国有建设用地使用权抵押价格</v>
      </c>
      <c r="L1" s="1707"/>
      <c r="M1" s="1707"/>
      <c r="N1" s="1678"/>
      <c r="O1" s="1679"/>
      <c r="P1" s="1678"/>
      <c r="Q1" s="1678"/>
      <c r="R1" s="1678"/>
      <c r="S1" s="1678"/>
      <c r="T1" s="1678"/>
      <c r="U1" s="1678"/>
    </row>
    <row r="2" spans="1:21">
      <c r="A2" s="1644" t="s">
        <v>1936</v>
      </c>
      <c r="B2" s="1826"/>
      <c r="D2" s="1678"/>
      <c r="E2" s="1678"/>
      <c r="F2" s="1678"/>
      <c r="G2" s="1678"/>
      <c r="H2" s="1644"/>
      <c r="I2" s="1679"/>
      <c r="J2" s="1678"/>
      <c r="K2" s="2419" t="str">
        <f>IF(B10="北京市","北京市",C10)&amp;F10&amp;B16&amp;"国有建设用地使用权"</f>
        <v>成都市金堂县三星镇天灯村出让国有建设用地使用权</v>
      </c>
      <c r="L2" s="1707"/>
      <c r="M2" s="1707"/>
      <c r="N2" s="1678"/>
      <c r="O2" s="1679"/>
      <c r="P2" s="1678"/>
      <c r="Q2" s="1678"/>
      <c r="R2" s="1678"/>
      <c r="S2" s="1678"/>
      <c r="T2" s="1678"/>
      <c r="U2" s="1678"/>
    </row>
    <row r="3" spans="1:21">
      <c r="A3" s="1645" t="s">
        <v>1937</v>
      </c>
      <c r="B3" s="1646">
        <v>43927</v>
      </c>
      <c r="C3" s="1647" t="s">
        <v>1992</v>
      </c>
      <c r="D3" s="1646">
        <f>B3</f>
        <v>43927</v>
      </c>
      <c r="E3" s="1678"/>
      <c r="F3" s="1678"/>
      <c r="G3" s="1678"/>
      <c r="H3" s="1644"/>
      <c r="I3" s="1679"/>
      <c r="J3" s="1678"/>
      <c r="K3" s="1758"/>
      <c r="L3" s="1707"/>
      <c r="M3" s="1707"/>
      <c r="N3" s="1678"/>
      <c r="O3" s="1679"/>
      <c r="P3" s="1678"/>
      <c r="Q3" s="1678"/>
      <c r="R3" s="1678"/>
      <c r="S3" s="1678"/>
      <c r="T3" s="1678"/>
      <c r="U3" s="1678"/>
    </row>
    <row r="4" spans="1:21" ht="15" thickBot="1">
      <c r="A4" s="1648" t="s">
        <v>1938</v>
      </c>
      <c r="B4" s="1827" t="s">
        <v>2883</v>
      </c>
      <c r="C4" s="1830">
        <f>SUMIF(土地估价师,B4,估价师及机构信息!E3:E24)</f>
        <v>0</v>
      </c>
      <c r="D4" s="1827" t="s">
        <v>2883</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1939</v>
      </c>
      <c r="B5" s="1773" t="s">
        <v>3082</v>
      </c>
      <c r="C5" s="1650"/>
      <c r="D5" s="1651"/>
      <c r="E5" s="1678"/>
      <c r="F5" s="1678"/>
      <c r="G5" s="1678"/>
      <c r="H5" s="1644"/>
      <c r="I5" s="1679"/>
      <c r="J5" s="1678"/>
      <c r="K5" s="1758"/>
      <c r="L5" s="1707"/>
      <c r="M5" s="1707"/>
      <c r="N5" s="1678"/>
      <c r="O5" s="1679"/>
      <c r="P5" s="1678"/>
      <c r="Q5" s="1678"/>
      <c r="R5" s="1678"/>
      <c r="S5" s="1678"/>
      <c r="T5" s="1678"/>
      <c r="U5" s="1678"/>
    </row>
    <row r="6" spans="1:21" ht="26.25">
      <c r="A6" s="1647" t="s">
        <v>2701</v>
      </c>
      <c r="B6" s="1773" t="str">
        <f>B5</f>
        <v>五矿国际信托有限公司</v>
      </c>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2702</v>
      </c>
      <c r="B7" s="1773" t="s">
        <v>3083</v>
      </c>
      <c r="C7" s="1745"/>
      <c r="D7" s="1652"/>
      <c r="E7" s="1678"/>
      <c r="F7" s="1678"/>
      <c r="G7" s="1678"/>
      <c r="H7" s="1644"/>
      <c r="I7" s="1679"/>
      <c r="J7" s="1678"/>
      <c r="K7" s="1758"/>
      <c r="L7" s="1707"/>
      <c r="M7" s="1707"/>
      <c r="N7" s="1678"/>
      <c r="O7" s="1679"/>
      <c r="P7" s="1678"/>
      <c r="Q7" s="1678"/>
      <c r="R7" s="1678"/>
      <c r="S7" s="1678"/>
      <c r="T7" s="1678"/>
      <c r="U7" s="1678"/>
    </row>
    <row r="8" spans="1:21">
      <c r="A8" s="1653" t="s">
        <v>1940</v>
      </c>
      <c r="B8" s="1654" t="s">
        <v>2987</v>
      </c>
      <c r="C8" s="1655"/>
      <c r="D8" s="3240" t="s">
        <v>1942</v>
      </c>
      <c r="E8" s="1828" t="s">
        <v>2994</v>
      </c>
      <c r="F8" s="1656"/>
      <c r="G8" s="1644"/>
      <c r="H8" s="1644"/>
      <c r="I8" s="1691"/>
      <c r="J8" s="1678"/>
      <c r="K8" s="1758"/>
      <c r="L8" s="1707"/>
      <c r="M8" s="1707"/>
      <c r="N8" s="1678"/>
      <c r="O8" s="1679"/>
      <c r="P8" s="1678"/>
      <c r="Q8" s="1678"/>
      <c r="R8" s="1678"/>
      <c r="S8" s="1678"/>
      <c r="T8" s="1678"/>
      <c r="U8" s="1678"/>
    </row>
    <row r="9" spans="1:21" ht="15" thickBot="1">
      <c r="A9" s="1657" t="s">
        <v>1941</v>
      </c>
      <c r="B9" s="1658" t="s">
        <v>2994</v>
      </c>
      <c r="C9" s="1659"/>
      <c r="D9" s="3241"/>
      <c r="E9" s="1658" t="s">
        <v>952</v>
      </c>
      <c r="F9" s="1731"/>
      <c r="G9" s="1726"/>
      <c r="H9" s="1726"/>
      <c r="I9" s="1727"/>
      <c r="J9" s="1678"/>
      <c r="K9" s="1758"/>
      <c r="L9" s="1707"/>
      <c r="M9" s="1707"/>
      <c r="N9" s="1678"/>
      <c r="O9" s="1679"/>
      <c r="P9" s="1678"/>
      <c r="Q9" s="1678"/>
      <c r="R9" s="1678"/>
      <c r="S9" s="1678"/>
      <c r="T9" s="1678"/>
      <c r="U9" s="1678"/>
    </row>
    <row r="10" spans="1:21" ht="15" thickTop="1">
      <c r="A10" s="1728" t="s">
        <v>1996</v>
      </c>
      <c r="B10" s="1703" t="s">
        <v>2995</v>
      </c>
      <c r="C10" s="1660" t="s">
        <v>2997</v>
      </c>
      <c r="D10" s="1651"/>
      <c r="E10" s="1661" t="s">
        <v>1944</v>
      </c>
      <c r="F10" s="1662" t="s">
        <v>2998</v>
      </c>
      <c r="G10" s="1729"/>
      <c r="H10" s="1730"/>
      <c r="I10" s="1651"/>
      <c r="J10" s="1678"/>
      <c r="K10" s="1758"/>
      <c r="L10" s="1707"/>
      <c r="M10" s="1707"/>
      <c r="N10" s="1678"/>
      <c r="O10" s="1679"/>
      <c r="P10" s="1678"/>
      <c r="Q10" s="1678"/>
      <c r="R10" s="1678"/>
      <c r="S10" s="1678"/>
      <c r="T10" s="1678"/>
      <c r="U10" s="1678"/>
    </row>
    <row r="11" spans="1:21" ht="42.75">
      <c r="A11" s="1681" t="s">
        <v>1997</v>
      </c>
      <c r="B11" s="1682" t="s">
        <v>2999</v>
      </c>
      <c r="C11" s="1663" t="str">
        <f>B7</f>
        <v>成都宜居水城城乡交通建设投资有限公司</v>
      </c>
      <c r="D11" s="1746"/>
      <c r="E11" s="1644"/>
      <c r="F11" s="1644"/>
      <c r="G11" s="1644"/>
      <c r="H11" s="1644"/>
      <c r="I11" s="1644"/>
      <c r="J11" s="1678"/>
      <c r="K11" s="1758"/>
      <c r="L11" s="1707"/>
      <c r="M11" s="1707"/>
      <c r="N11" s="1678"/>
      <c r="O11" s="1679"/>
      <c r="P11" s="1678"/>
      <c r="Q11" s="1678"/>
      <c r="R11" s="1678"/>
      <c r="S11" s="1678"/>
      <c r="T11" s="1678"/>
      <c r="U11" s="1678"/>
    </row>
    <row r="12" spans="1:21">
      <c r="A12" s="1769" t="s">
        <v>2055</v>
      </c>
      <c r="B12" s="3237" t="s">
        <v>3084</v>
      </c>
      <c r="C12" s="3238"/>
      <c r="D12" s="3239"/>
      <c r="E12" s="1683" t="s">
        <v>2058</v>
      </c>
      <c r="F12" s="3255" t="s">
        <v>2884</v>
      </c>
      <c r="G12" s="3256"/>
      <c r="H12" s="3256"/>
      <c r="I12" s="3257"/>
      <c r="J12" s="1678"/>
      <c r="K12" s="1758"/>
      <c r="L12" s="1707"/>
      <c r="M12" s="1707"/>
      <c r="N12" s="1678"/>
      <c r="O12" s="1679"/>
      <c r="P12" s="1678"/>
      <c r="Q12" s="1678"/>
      <c r="R12" s="1678"/>
      <c r="S12" s="1678"/>
      <c r="T12" s="1678"/>
      <c r="U12" s="1678"/>
    </row>
    <row r="13" spans="1:21">
      <c r="A13" s="1671" t="s">
        <v>2056</v>
      </c>
      <c r="B13" s="3237" t="s">
        <v>3084</v>
      </c>
      <c r="C13" s="3238"/>
      <c r="D13" s="3239"/>
      <c r="E13" s="1683" t="s">
        <v>2058</v>
      </c>
      <c r="F13" s="3255" t="s">
        <v>2885</v>
      </c>
      <c r="G13" s="3256"/>
      <c r="H13" s="3256"/>
      <c r="I13" s="3257"/>
      <c r="J13" s="1678"/>
      <c r="K13" s="1758"/>
      <c r="L13" s="1707"/>
      <c r="M13" s="1707"/>
      <c r="N13" s="1678"/>
      <c r="O13" s="1679"/>
      <c r="P13" s="1678"/>
      <c r="Q13" s="1678"/>
      <c r="R13" s="1678"/>
      <c r="S13" s="1678"/>
      <c r="T13" s="1678"/>
      <c r="U13" s="1678"/>
    </row>
    <row r="14" spans="1:21">
      <c r="A14" s="1645" t="s">
        <v>2059</v>
      </c>
      <c r="B14" s="1683"/>
      <c r="C14" s="1829" t="s">
        <v>3085</v>
      </c>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1947</v>
      </c>
      <c r="E15" s="1750" t="s">
        <v>1948</v>
      </c>
      <c r="F15" s="1750" t="s">
        <v>1949</v>
      </c>
      <c r="G15" s="1670" t="s">
        <v>1950</v>
      </c>
      <c r="H15" s="1670" t="s">
        <v>1951</v>
      </c>
      <c r="I15" s="1670" t="s">
        <v>1952</v>
      </c>
      <c r="J15" s="1678"/>
      <c r="K15" s="1758"/>
      <c r="L15" s="1707"/>
      <c r="M15" s="1707"/>
      <c r="N15" s="1678"/>
      <c r="O15" s="1679"/>
      <c r="P15" s="1678"/>
      <c r="Q15" s="1678"/>
      <c r="R15" s="1678"/>
      <c r="S15" s="1678"/>
      <c r="T15" s="1678"/>
      <c r="U15" s="1678"/>
    </row>
    <row r="16" spans="1:21" ht="28.5">
      <c r="A16" s="1664" t="s">
        <v>1945</v>
      </c>
      <c r="B16" s="1665" t="s">
        <v>2982</v>
      </c>
      <c r="C16" s="1683" t="s">
        <v>1946</v>
      </c>
      <c r="D16" s="2610" t="s">
        <v>1947</v>
      </c>
      <c r="E16" s="1706" t="s">
        <v>3000</v>
      </c>
      <c r="F16" s="1706"/>
      <c r="G16" s="1706"/>
      <c r="H16" s="1706"/>
      <c r="I16" s="1670" t="s">
        <v>1952</v>
      </c>
      <c r="J16" s="1678"/>
      <c r="K16" s="2420" t="str">
        <f>IF(D17="","",D16&amp;TEXT(D17,"yyyy年m月d日;;"))</f>
        <v>住宅2086年8月25日</v>
      </c>
      <c r="L16" s="1683" t="str">
        <f>IF(OR(K16="",M16=""),"","、")</f>
        <v>、</v>
      </c>
      <c r="M16" s="2420" t="str">
        <f>IF(E17="","",E16&amp;TEXT(E17,"yyyy年m月d日;;"))</f>
        <v>商业2056年8月25日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1953</v>
      </c>
      <c r="D17" s="1684">
        <v>68174</v>
      </c>
      <c r="E17" s="1684">
        <v>57217</v>
      </c>
      <c r="F17" s="1684"/>
      <c r="G17" s="1684"/>
      <c r="H17" s="1684"/>
      <c r="I17" s="1684"/>
      <c r="J17" s="1678"/>
      <c r="K17" s="2419" t="str">
        <f>CONCATENATE(K16,L16,M16,N16,O16,P16,Q16,R16,S16,T16,,U16)</f>
        <v>住宅2086年8月25日、商业2056年8月25日</v>
      </c>
      <c r="L17" s="1707"/>
      <c r="M17" s="1707"/>
      <c r="N17" s="1678"/>
      <c r="O17" s="1679"/>
      <c r="P17" s="1678"/>
      <c r="Q17" s="1678"/>
      <c r="R17" s="1678"/>
      <c r="S17" s="1678"/>
      <c r="T17" s="1678"/>
      <c r="U17" s="1678"/>
    </row>
    <row r="18" spans="1:21">
      <c r="A18" s="1747"/>
      <c r="B18" s="1666"/>
      <c r="C18" s="1667" t="s">
        <v>1954</v>
      </c>
      <c r="D18" s="1668">
        <v>70</v>
      </c>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1955</v>
      </c>
      <c r="D19" s="1742">
        <f>IF(B16="出让",IF(D17="","",ROUNDDOWN(MIN((D17-$D$3)/365,D18),2)),D18)</f>
        <v>66.430000000000007</v>
      </c>
      <c r="E19" s="1669">
        <f>IF(B16="出让",IF(E17="","",ROUNDDOWN(MIN((E17-$D$3)/365,E18),2)),E18)</f>
        <v>36.409999999999997</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2057</v>
      </c>
      <c r="D20" s="3252"/>
      <c r="E20" s="3253"/>
      <c r="F20" s="3253"/>
      <c r="G20" s="3253"/>
      <c r="H20" s="3253"/>
      <c r="I20" s="3254"/>
      <c r="J20" s="1678"/>
      <c r="K20" s="1758"/>
      <c r="L20" s="1707"/>
      <c r="M20" s="1707"/>
      <c r="N20" s="1678"/>
      <c r="O20" s="1679"/>
      <c r="P20" s="1678"/>
      <c r="Q20" s="1678"/>
      <c r="R20" s="1678"/>
      <c r="S20" s="1678"/>
      <c r="T20" s="1678"/>
      <c r="U20" s="1678"/>
    </row>
    <row r="21" spans="1:21">
      <c r="A21" s="1747" t="s">
        <v>1956</v>
      </c>
      <c r="B21" s="1748" t="s">
        <v>1957</v>
      </c>
      <c r="C21" s="1743">
        <f>'数据-汇总表'!E3</f>
        <v>310119.66000000003</v>
      </c>
      <c r="D21" s="1744" t="s">
        <v>1958</v>
      </c>
      <c r="E21" s="3242" t="s">
        <v>1995</v>
      </c>
      <c r="F21" s="3243"/>
      <c r="G21" s="3243"/>
      <c r="H21" s="3243"/>
      <c r="I21" s="3244"/>
      <c r="J21" s="1678"/>
      <c r="K21" s="1758"/>
      <c r="L21" s="1707"/>
      <c r="M21" s="1707"/>
      <c r="N21" s="1678"/>
      <c r="O21" s="1679"/>
      <c r="P21" s="1678"/>
      <c r="Q21" s="1678"/>
      <c r="R21" s="1678"/>
      <c r="S21" s="1678"/>
      <c r="T21" s="1678"/>
      <c r="U21" s="1678"/>
    </row>
    <row r="22" spans="1:21">
      <c r="A22" s="3097" t="s">
        <v>952</v>
      </c>
      <c r="B22" s="1645" t="s">
        <v>1959</v>
      </c>
      <c r="C22" s="1670">
        <f>'数据-汇总表'!D3</f>
        <v>103373.22</v>
      </c>
      <c r="D22" s="1671" t="s">
        <v>1958</v>
      </c>
      <c r="E22" s="3242" t="s">
        <v>2886</v>
      </c>
      <c r="F22" s="3243"/>
      <c r="G22" s="3243"/>
      <c r="H22" s="3243"/>
      <c r="I22" s="3244"/>
      <c r="J22" s="1678"/>
      <c r="K22" s="1758"/>
      <c r="L22" s="1707"/>
      <c r="M22" s="1707"/>
      <c r="N22" s="1678"/>
      <c r="O22" s="1679"/>
      <c r="P22" s="1678"/>
      <c r="Q22" s="1678"/>
      <c r="R22" s="1678"/>
      <c r="S22" s="1678"/>
      <c r="T22" s="1678"/>
      <c r="U22" s="1678"/>
    </row>
    <row r="23" spans="1:21" ht="43.5" thickBot="1">
      <c r="A23" s="1749" t="s">
        <v>1960</v>
      </c>
      <c r="B23" s="1685" t="s">
        <v>1961</v>
      </c>
      <c r="C23" s="1686" t="s">
        <v>3086</v>
      </c>
      <c r="D23" s="1687" t="s">
        <v>1962</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1963</v>
      </c>
      <c r="B24" s="3245" t="s">
        <v>1964</v>
      </c>
      <c r="C24" s="3246"/>
      <c r="D24" s="3247" t="s">
        <v>1965</v>
      </c>
      <c r="E24" s="3248"/>
      <c r="F24" s="1692" t="s">
        <v>1966</v>
      </c>
      <c r="G24" s="1678"/>
      <c r="H24" s="1678"/>
      <c r="I24" s="1691"/>
      <c r="J24" s="1678"/>
      <c r="K24" s="3233" t="s">
        <v>1967</v>
      </c>
      <c r="L24" s="2421" t="str">
        <f>"根据估价对象"&amp;IF(B26="——",B25&amp;C25,B25&amp;C25&amp;"、"&amp;B26&amp;C26)&amp;"，"&amp;IF(C23="是","截至估价期日，估价对象已设定抵押。","截至估价期日，估价对象抵押权未见登记。")</f>
        <v>根据估价对象《不动产权证书》复印件、《国有土地使用权》复印件，截至估价期日，估价对象抵押权未见登记。</v>
      </c>
      <c r="M24" s="1707"/>
      <c r="N24" s="1678"/>
      <c r="O24" s="1679"/>
      <c r="P24" s="1678"/>
      <c r="Q24" s="1678"/>
      <c r="R24" s="1678"/>
      <c r="S24" s="1678"/>
      <c r="T24" s="1678"/>
      <c r="U24" s="1678"/>
    </row>
    <row r="25" spans="1:21" ht="28.5">
      <c r="A25" s="1735"/>
      <c r="B25" s="1732" t="s">
        <v>2322</v>
      </c>
      <c r="C25" s="1693" t="s">
        <v>2323</v>
      </c>
      <c r="D25" s="1694"/>
      <c r="E25" s="1695" t="s">
        <v>952</v>
      </c>
      <c r="F25" s="1696"/>
      <c r="G25" s="1678"/>
      <c r="H25" s="1678"/>
      <c r="I25" s="1691"/>
      <c r="J25" s="1678"/>
      <c r="K25" s="3233"/>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07"/>
      <c r="N25" s="1678"/>
      <c r="O25" s="1679"/>
      <c r="P25" s="1678"/>
      <c r="Q25" s="1678"/>
      <c r="R25" s="1678"/>
      <c r="S25" s="1678"/>
      <c r="T25" s="1678"/>
      <c r="U25" s="1678"/>
    </row>
    <row r="26" spans="1:21" ht="29.25" thickBot="1">
      <c r="A26" s="1736"/>
      <c r="B26" s="1733" t="s">
        <v>1968</v>
      </c>
      <c r="C26" s="1693" t="s">
        <v>2323</v>
      </c>
      <c r="D26" s="1644"/>
      <c r="E26" s="1644"/>
      <c r="F26" s="1672"/>
      <c r="G26" s="1678"/>
      <c r="H26" s="1678"/>
      <c r="I26" s="1691"/>
      <c r="J26" s="1678"/>
      <c r="K26" s="3233"/>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1969</v>
      </c>
      <c r="B27" s="1737" t="s">
        <v>1970</v>
      </c>
      <c r="C27" s="1697"/>
      <c r="D27" s="2615" t="s">
        <v>1970</v>
      </c>
      <c r="E27" s="1698"/>
      <c r="F27" s="1672"/>
      <c r="G27" s="1678"/>
      <c r="H27" s="1678"/>
      <c r="I27" s="1691"/>
      <c r="J27" s="1678"/>
      <c r="K27" s="1758"/>
      <c r="L27" s="1707"/>
      <c r="M27" s="1707"/>
      <c r="N27" s="1678"/>
      <c r="O27" s="1679"/>
      <c r="P27" s="1678"/>
      <c r="Q27" s="1678"/>
      <c r="R27" s="1678"/>
      <c r="S27" s="1678"/>
      <c r="T27" s="1678"/>
      <c r="U27" s="1678"/>
    </row>
    <row r="28" spans="1:21">
      <c r="A28" s="1740"/>
      <c r="B28" s="1737" t="s">
        <v>1971</v>
      </c>
      <c r="C28" s="1699"/>
      <c r="D28" s="2616" t="s">
        <v>1971</v>
      </c>
      <c r="E28" s="1700"/>
      <c r="F28" s="1672"/>
      <c r="G28" s="1678"/>
      <c r="H28" s="1678"/>
      <c r="I28" s="1691"/>
      <c r="J28" s="1678"/>
      <c r="K28" s="1758"/>
      <c r="L28" s="1707"/>
      <c r="M28" s="1707"/>
      <c r="N28" s="1678"/>
      <c r="O28" s="1679"/>
      <c r="P28" s="1678"/>
      <c r="Q28" s="1678"/>
      <c r="R28" s="1678"/>
      <c r="S28" s="1678"/>
      <c r="T28" s="1678"/>
      <c r="U28" s="1678"/>
    </row>
    <row r="29" spans="1:21">
      <c r="A29" s="1740"/>
      <c r="B29" s="1737" t="s">
        <v>1972</v>
      </c>
      <c r="C29" s="1699"/>
      <c r="D29" s="2616" t="s">
        <v>1972</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1973</v>
      </c>
      <c r="C30" s="1701"/>
      <c r="D30" s="2617" t="s">
        <v>1973</v>
      </c>
      <c r="E30" s="1702"/>
      <c r="F30" s="1673"/>
      <c r="G30" s="1726"/>
      <c r="H30" s="1726"/>
      <c r="I30" s="1727"/>
      <c r="J30" s="1678"/>
      <c r="K30" s="1758"/>
      <c r="L30" s="1707"/>
      <c r="M30" s="1707"/>
      <c r="N30" s="1678"/>
      <c r="O30" s="1679"/>
      <c r="P30" s="1678"/>
      <c r="Q30" s="1678"/>
      <c r="R30" s="1678"/>
      <c r="S30" s="1678"/>
      <c r="T30" s="1678"/>
      <c r="U30" s="1678"/>
    </row>
    <row r="31" spans="1:21" ht="15" thickTop="1">
      <c r="A31" s="3219" t="s">
        <v>1998</v>
      </c>
      <c r="B31" s="1748" t="s">
        <v>1999</v>
      </c>
      <c r="C31" s="3258" t="s">
        <v>3001</v>
      </c>
      <c r="D31" s="3259"/>
      <c r="E31" s="1678"/>
      <c r="F31" s="1678"/>
      <c r="G31" s="1678"/>
      <c r="H31" s="1678"/>
      <c r="I31" s="1691"/>
      <c r="J31" s="1678"/>
      <c r="K31" s="2422"/>
      <c r="L31" s="1678"/>
      <c r="M31" s="1678"/>
      <c r="N31" s="1678"/>
      <c r="O31" s="1678"/>
      <c r="P31" s="1678"/>
      <c r="Q31" s="1678"/>
      <c r="R31" s="1678"/>
      <c r="S31" s="1678"/>
      <c r="T31" s="1678"/>
      <c r="U31" s="1678"/>
    </row>
    <row r="32" spans="1:21">
      <c r="A32" s="3219"/>
      <c r="B32" s="1645" t="s">
        <v>2000</v>
      </c>
      <c r="C32" s="1703" t="s">
        <v>3087</v>
      </c>
      <c r="D32" s="1704"/>
      <c r="E32" s="1678"/>
      <c r="F32" s="1678"/>
      <c r="G32" s="1678"/>
      <c r="H32" s="1678"/>
      <c r="I32" s="1691"/>
      <c r="J32" s="1678"/>
      <c r="K32" s="2422"/>
      <c r="L32" s="1678"/>
      <c r="M32" s="1678"/>
      <c r="N32" s="1678"/>
      <c r="O32" s="1678"/>
      <c r="P32" s="1678"/>
      <c r="Q32" s="1678"/>
      <c r="R32" s="1678"/>
      <c r="S32" s="1678"/>
      <c r="T32" s="1678"/>
      <c r="U32" s="1678"/>
    </row>
    <row r="33" spans="1:21">
      <c r="A33" s="3219"/>
      <c r="B33" s="1645" t="s">
        <v>2001</v>
      </c>
      <c r="C33" s="1705" t="s">
        <v>3086</v>
      </c>
      <c r="D33" s="1822"/>
      <c r="E33" s="1678"/>
      <c r="F33" s="1678"/>
      <c r="G33" s="1678"/>
      <c r="H33" s="1678"/>
      <c r="I33" s="1691"/>
      <c r="J33" s="1678"/>
      <c r="K33" s="2422"/>
      <c r="L33" s="1678"/>
      <c r="M33" s="1678"/>
      <c r="N33" s="1678"/>
      <c r="O33" s="1678"/>
      <c r="P33" s="1678"/>
      <c r="Q33" s="1678"/>
      <c r="R33" s="1678"/>
      <c r="S33" s="1678"/>
      <c r="T33" s="1678"/>
      <c r="U33" s="1678"/>
    </row>
    <row r="34" spans="1:21">
      <c r="A34" s="3220"/>
      <c r="B34" s="1645" t="s">
        <v>2002</v>
      </c>
      <c r="C34" s="3221"/>
      <c r="D34" s="3222"/>
      <c r="E34" s="1678"/>
      <c r="F34" s="1678"/>
      <c r="G34" s="1678"/>
      <c r="H34" s="1678"/>
      <c r="I34" s="1691"/>
      <c r="J34" s="1678"/>
      <c r="K34" s="2422"/>
      <c r="L34" s="1678"/>
      <c r="M34" s="1678"/>
      <c r="N34" s="1678"/>
      <c r="O34" s="1678"/>
      <c r="P34" s="1678"/>
      <c r="Q34" s="1678"/>
      <c r="R34" s="1678"/>
      <c r="S34" s="1678"/>
      <c r="T34" s="1678"/>
      <c r="U34" s="1678"/>
    </row>
    <row r="35" spans="1:21">
      <c r="A35" s="3223" t="s">
        <v>847</v>
      </c>
      <c r="B35" s="1706" t="s">
        <v>3088</v>
      </c>
      <c r="C35" s="1760" t="str">
        <f>IF(B35="场地平整","——","具体情况：")</f>
        <v>——</v>
      </c>
      <c r="D35" s="3225"/>
      <c r="E35" s="3226"/>
      <c r="F35" s="3226"/>
      <c r="G35" s="3226"/>
      <c r="H35" s="3226"/>
      <c r="I35" s="3227"/>
      <c r="J35" s="1678"/>
      <c r="K35" s="1759"/>
      <c r="L35" s="1707"/>
      <c r="M35" s="1707"/>
      <c r="N35" s="1678"/>
      <c r="O35" s="1679"/>
      <c r="P35" s="1678"/>
      <c r="Q35" s="1678"/>
      <c r="R35" s="1678"/>
      <c r="S35" s="1678"/>
      <c r="T35" s="1678"/>
      <c r="U35" s="1678"/>
    </row>
    <row r="36" spans="1:21">
      <c r="A36" s="3219"/>
      <c r="B36" s="3228" t="s">
        <v>2051</v>
      </c>
      <c r="C36" s="3229"/>
      <c r="D36" s="1776" t="s">
        <v>3089</v>
      </c>
      <c r="E36" s="3230"/>
      <c r="F36" s="3230"/>
      <c r="G36" s="1671" t="str">
        <f>IF(B35="场地未平整","估价结果处理","")</f>
        <v/>
      </c>
      <c r="H36" s="3231"/>
      <c r="I36" s="3231"/>
      <c r="J36" s="1678"/>
      <c r="K36" s="1759"/>
      <c r="L36" s="1707"/>
      <c r="M36" s="1707"/>
      <c r="N36" s="1678"/>
      <c r="O36" s="1679"/>
      <c r="P36" s="1678"/>
      <c r="Q36" s="1678"/>
      <c r="R36" s="1678"/>
      <c r="S36" s="1678"/>
      <c r="T36" s="1678"/>
      <c r="U36" s="1678"/>
    </row>
    <row r="37" spans="1:21" ht="28.5">
      <c r="A37" s="3219"/>
      <c r="B37" s="3249"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19"/>
      <c r="B38" s="3250"/>
      <c r="C38" s="1653" t="s">
        <v>850</v>
      </c>
      <c r="D38" s="1775">
        <f>ROUNDDOWN(MIN(('数据-取费表'!$B$2-D37)/365,D34),1)</f>
        <v>120.3</v>
      </c>
      <c r="E38" s="1711" t="s">
        <v>851</v>
      </c>
      <c r="F38" s="1678"/>
      <c r="G38" s="1678"/>
      <c r="H38" s="1678"/>
      <c r="I38" s="1691"/>
      <c r="J38" s="1678"/>
      <c r="K38" s="1759"/>
      <c r="L38" s="1678"/>
      <c r="M38" s="1678"/>
      <c r="N38" s="1678"/>
      <c r="O38" s="1678"/>
      <c r="P38" s="1678"/>
      <c r="Q38" s="1678"/>
      <c r="R38" s="1678"/>
      <c r="S38" s="1678"/>
      <c r="T38" s="1678"/>
      <c r="U38" s="1678"/>
    </row>
    <row r="39" spans="1:21">
      <c r="A39" s="3220"/>
      <c r="B39" s="3251"/>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1974</v>
      </c>
      <c r="B40" s="1674" t="s">
        <v>3002</v>
      </c>
      <c r="C40" s="1674" t="s">
        <v>3003</v>
      </c>
      <c r="D40" s="1674" t="s">
        <v>3004</v>
      </c>
      <c r="E40" s="1674" t="s">
        <v>3005</v>
      </c>
      <c r="F40" s="1674" t="s">
        <v>3006</v>
      </c>
      <c r="G40" s="1674" t="s">
        <v>3007</v>
      </c>
      <c r="H40" s="1674" t="s">
        <v>952</v>
      </c>
      <c r="I40" s="1691"/>
      <c r="J40" s="1678"/>
      <c r="K40" s="1714">
        <f>COUNTIF(B40:H40,"——")</f>
        <v>1</v>
      </c>
      <c r="L40" s="1683" t="s">
        <v>1975</v>
      </c>
      <c r="M40" s="1680" t="s">
        <v>1976</v>
      </c>
      <c r="N40" s="1680" t="s">
        <v>1977</v>
      </c>
      <c r="O40" s="1680" t="s">
        <v>1978</v>
      </c>
      <c r="P40" s="1680" t="s">
        <v>1979</v>
      </c>
      <c r="Q40" s="1680" t="s">
        <v>1980</v>
      </c>
      <c r="R40" s="1680" t="s">
        <v>1981</v>
      </c>
      <c r="S40" s="3232" t="s">
        <v>1982</v>
      </c>
      <c r="T40" s="1715" t="str">
        <f>NUMBERSTRING(7-K40,1)&amp;"通"</f>
        <v>六通</v>
      </c>
      <c r="U40" s="1678"/>
    </row>
    <row r="41" spans="1:21">
      <c r="A41" s="1647"/>
      <c r="B41" s="3224" t="s">
        <v>1721</v>
      </c>
      <c r="C41" s="3224"/>
      <c r="D41" s="3224"/>
      <c r="E41" s="3224"/>
      <c r="F41" s="1716" t="str">
        <f>C10</f>
        <v>成都市</v>
      </c>
      <c r="G41" s="1678"/>
      <c r="H41" s="1678"/>
      <c r="I41" s="1691"/>
      <c r="J41" s="1678"/>
      <c r="K41" s="1683"/>
      <c r="L41" s="1680" t="str">
        <f>B40</f>
        <v>通路</v>
      </c>
      <c r="M41" s="1717" t="str">
        <f>B40&amp;"、"&amp;C40</f>
        <v>通路、通电</v>
      </c>
      <c r="N41" s="1718" t="str">
        <f>B40&amp;"、"&amp;C40&amp;"、"&amp;D40</f>
        <v>通路、通电、通讯</v>
      </c>
      <c r="O41" s="1718" t="str">
        <f>B40&amp;"、"&amp;C40&amp;"、"&amp;D40&amp;"、"&amp;E40</f>
        <v>通路、通电、通讯、通上水</v>
      </c>
      <c r="P41" s="1718" t="str">
        <f>B40&amp;"、"&amp;C40&amp;"、"&amp;D40&amp;"、"&amp;E40&amp;"、"&amp;F40</f>
        <v>通路、通电、通讯、通上水、通下水</v>
      </c>
      <c r="Q41" s="1718" t="str">
        <f>B40&amp;"、"&amp;C40&amp;"、"&amp;D40&amp;"、"&amp;E40&amp;"、"&amp;F40&amp;"、"&amp;G40</f>
        <v>通路、通电、通讯、通上水、通下水、燃气</v>
      </c>
      <c r="R41" s="1718" t="str">
        <f>B40&amp;"、"&amp;C40&amp;"、"&amp;D40&amp;"、"&amp;E40&amp;"、"&amp;F40&amp;"、"&amp;G40&amp;"、"&amp;H40</f>
        <v>通路、通电、通讯、通上水、通下水、燃气、——</v>
      </c>
      <c r="S41" s="3232"/>
      <c r="T41" s="1717" t="str">
        <f>IF(T40="一通",L41,IF(T40="二通",M41,IF(T40="三通",N41,IF(T40="四通",O41,IF(T40="五通",P41,IF(T40="六通",Q41,R41))))))</f>
        <v>通路、通电、通讯、通上水、通下水、燃气</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2887</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2003</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2004</v>
      </c>
      <c r="B48" s="1670" t="s">
        <v>2005</v>
      </c>
      <c r="C48" s="1670" t="s">
        <v>2006</v>
      </c>
      <c r="D48" s="1670" t="s">
        <v>2007</v>
      </c>
      <c r="E48" s="1670" t="s">
        <v>2008</v>
      </c>
      <c r="F48" s="1670" t="s">
        <v>2009</v>
      </c>
      <c r="G48" s="1670" t="s">
        <v>2010</v>
      </c>
      <c r="H48" s="1670" t="s">
        <v>2011</v>
      </c>
      <c r="I48" s="1670" t="s">
        <v>2012</v>
      </c>
      <c r="J48" s="1756" t="s">
        <v>2013</v>
      </c>
      <c r="K48" s="1750" t="s">
        <v>2014</v>
      </c>
      <c r="L48" s="1750" t="s">
        <v>2015</v>
      </c>
      <c r="M48" s="1750" t="s">
        <v>2016</v>
      </c>
      <c r="N48" s="1670" t="s">
        <v>2017</v>
      </c>
      <c r="O48" s="1670" t="s">
        <v>2018</v>
      </c>
      <c r="P48" s="1670" t="s">
        <v>2019</v>
      </c>
      <c r="Q48" s="1683" t="s">
        <v>2020</v>
      </c>
      <c r="R48" s="1683" t="s">
        <v>2021</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scale="39"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3" sqref="K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6" width="9.875" style="15" customWidth="1"/>
    <col min="17" max="17" width="9.375" style="15" customWidth="1"/>
    <col min="18" max="18" width="9.125" style="15" customWidth="1"/>
    <col min="19" max="28" width="10.875" style="15" customWidth="1"/>
    <col min="29" max="29" width="11" style="15" bestFit="1" customWidth="1"/>
    <col min="30" max="30" width="10" style="15" bestFit="1" customWidth="1"/>
    <col min="31" max="31" width="9.875" style="15" customWidth="1"/>
    <col min="32"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2330</v>
      </c>
      <c r="BA2" s="2325" t="s">
        <v>2329</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103373.22</v>
      </c>
      <c r="B3" s="22">
        <f>IF(C3="否",G5-AT5,G5)</f>
        <v>310119.66000000003</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310119.66000000003</v>
      </c>
      <c r="H5" s="27">
        <f t="shared" ref="H5:AT5" si="0">SUM(H13:H641)</f>
        <v>310119.66000000003</v>
      </c>
      <c r="I5" s="27">
        <f t="shared" si="0"/>
        <v>263601.71000000002</v>
      </c>
      <c r="J5" s="27">
        <f t="shared" si="0"/>
        <v>0</v>
      </c>
      <c r="K5" s="27">
        <f t="shared" si="0"/>
        <v>46517.95</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310119.66000000003</v>
      </c>
      <c r="BA5" s="29">
        <f t="shared" si="1"/>
        <v>310119.66000000003</v>
      </c>
      <c r="BB5" s="29">
        <f t="shared" si="1"/>
        <v>263601.71000000002</v>
      </c>
      <c r="BC5" s="29">
        <f t="shared" si="1"/>
        <v>46517.95</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103373.22</v>
      </c>
      <c r="F6" s="27" t="s">
        <v>1</v>
      </c>
      <c r="G6" s="27" t="s">
        <v>2</v>
      </c>
      <c r="H6" s="33">
        <f>SUMIF(I$12:AB$12,"总值",I6:AB6)</f>
        <v>103373.22</v>
      </c>
      <c r="I6" s="27">
        <f t="shared" ref="I6:AB6" si="2">ROUND($A$3*I5/$B$3,2)</f>
        <v>87867.24</v>
      </c>
      <c r="J6" s="27">
        <f t="shared" si="2"/>
        <v>0</v>
      </c>
      <c r="K6" s="27">
        <f t="shared" si="2"/>
        <v>15505.98</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103373.22</v>
      </c>
      <c r="AZ6" s="27" t="s">
        <v>3</v>
      </c>
      <c r="BA6" s="27">
        <f>ROUND($AY$6*BA5/$AZ$5,2)</f>
        <v>103373.22</v>
      </c>
      <c r="BB6" s="27">
        <f>ROUND($AY$6*BB5/$AZ$5,2)</f>
        <v>87867.24</v>
      </c>
      <c r="BC6" s="27">
        <f t="shared" ref="BC6:BH6" si="4">ROUND($AY$6*BC5/$AZ$5,2)</f>
        <v>15505.98</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3008</v>
      </c>
      <c r="J9" s="51"/>
      <c r="K9" s="2971" t="s">
        <v>3008</v>
      </c>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923</v>
      </c>
      <c r="J10" s="51"/>
      <c r="K10" s="2973" t="s">
        <v>3000</v>
      </c>
      <c r="L10" s="51"/>
      <c r="M10" s="2973"/>
      <c r="N10" s="51"/>
      <c r="O10" s="66"/>
      <c r="P10" s="51"/>
      <c r="Q10" s="66"/>
      <c r="R10" s="51"/>
      <c r="S10" s="66"/>
      <c r="T10" s="51"/>
      <c r="U10" s="66"/>
      <c r="V10" s="51"/>
      <c r="W10" s="66"/>
      <c r="X10" s="51"/>
      <c r="Y10" s="66"/>
      <c r="Z10" s="51"/>
      <c r="AA10" s="66"/>
      <c r="AB10" s="51"/>
      <c r="AC10" s="55"/>
      <c r="AD10" s="2299" t="s">
        <v>2314</v>
      </c>
      <c r="AE10" s="2321"/>
      <c r="AF10" s="2299" t="s">
        <v>2314</v>
      </c>
      <c r="AG10" s="2321"/>
      <c r="AH10" s="2299" t="s">
        <v>2315</v>
      </c>
      <c r="AI10" s="2321"/>
      <c r="AJ10" s="26" t="s">
        <v>2328</v>
      </c>
      <c r="AK10" s="2318"/>
      <c r="AL10" s="2299" t="s">
        <v>2316</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2327</v>
      </c>
      <c r="AE11" s="1002"/>
      <c r="AF11" s="2319" t="s">
        <v>2327</v>
      </c>
      <c r="AG11" s="1002"/>
      <c r="AH11" s="2319" t="s">
        <v>2326</v>
      </c>
      <c r="AI11" s="2320"/>
      <c r="AJ11" s="2319" t="s">
        <v>2326</v>
      </c>
      <c r="AK11" s="2318"/>
      <c r="AL11" s="1000"/>
      <c r="AM11" s="1002"/>
      <c r="AN11" s="1000"/>
      <c r="AO11" s="1002"/>
      <c r="AP11" s="1184"/>
      <c r="AQ11" s="1186"/>
      <c r="AR11" s="1184"/>
      <c r="AS11" s="1186"/>
      <c r="AT11" s="1003"/>
      <c r="AU11" s="45"/>
      <c r="AV11" s="55"/>
      <c r="AW11" s="1003"/>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c r="D13" s="2967" t="s">
        <v>1678</v>
      </c>
      <c r="E13" s="27">
        <f t="shared" ref="E13:E20" si="6">IF($C$3="是",ROUND($A$3*G13/$B$3,2),ROUND($A$3*(G13-AT13)/$B$3,2))</f>
        <v>103373.22</v>
      </c>
      <c r="F13" s="81"/>
      <c r="G13" s="82">
        <f t="shared" ref="G13:G20" si="7">H13+AC13+AT13</f>
        <v>310119.66000000003</v>
      </c>
      <c r="H13" s="33">
        <f t="shared" ref="H13:H20" si="8">SUMIF(I$12:AB$12,"总值",I13:AB13)</f>
        <v>310119.66000000003</v>
      </c>
      <c r="I13" s="2970">
        <f>A3*3-K13</f>
        <v>263601.71000000002</v>
      </c>
      <c r="J13" s="2970"/>
      <c r="K13" s="2970">
        <f>ROUND(A3*3*0.15,2)</f>
        <v>46517.95</v>
      </c>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f t="shared" si="10"/>
        <v>0</v>
      </c>
      <c r="AY13" s="996">
        <f t="shared" ref="AY13:AY20" si="11">ROUND($AY$6*AZ13/$AZ$5,2)</f>
        <v>103373.22</v>
      </c>
      <c r="AZ13" s="27">
        <f t="shared" ref="AZ13:AZ20" si="12">BA13+BL13</f>
        <v>310119.66000000003</v>
      </c>
      <c r="BA13" s="27">
        <f t="shared" ref="BA13:BA20" si="13">SUM(BB13:BK13)</f>
        <v>310119.66000000003</v>
      </c>
      <c r="BB13" s="27">
        <f t="shared" ref="BB13:BB20" si="14">IF($D13="是",I13-J13,0)</f>
        <v>263601.71000000002</v>
      </c>
      <c r="BC13" s="27">
        <f t="shared" ref="BC13:BC20" si="15">IF($D13="是",K13-L13,0)</f>
        <v>46517.95</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c r="D14" s="2967"/>
      <c r="E14" s="27">
        <f t="shared" si="6"/>
        <v>0</v>
      </c>
      <c r="F14" s="81"/>
      <c r="G14" s="82">
        <f t="shared" si="7"/>
        <v>0</v>
      </c>
      <c r="H14" s="33">
        <f t="shared" si="8"/>
        <v>0</v>
      </c>
      <c r="I14" s="2970"/>
      <c r="J14" s="2970"/>
      <c r="K14" s="2970"/>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260" t="s">
        <v>0</v>
      </c>
      <c r="B1" s="3260" t="s">
        <v>4</v>
      </c>
      <c r="C1" s="3260" t="s">
        <v>5</v>
      </c>
      <c r="D1" s="3261" t="s">
        <v>40</v>
      </c>
      <c r="E1" s="3261" t="s">
        <v>41</v>
      </c>
      <c r="F1" s="3261"/>
      <c r="G1" s="3261"/>
      <c r="H1" s="3261"/>
      <c r="I1" s="3261"/>
      <c r="J1" s="3261"/>
      <c r="K1" s="3261"/>
      <c r="L1" s="3261"/>
      <c r="M1" s="3261"/>
    </row>
    <row r="2" spans="1:13" ht="27" customHeight="1">
      <c r="A2" s="3260"/>
      <c r="B2" s="3260"/>
      <c r="C2" s="3260"/>
      <c r="D2" s="3261"/>
      <c r="E2" s="3261" t="s">
        <v>24</v>
      </c>
      <c r="F2" s="3261" t="s">
        <v>25</v>
      </c>
      <c r="G2" s="3261"/>
      <c r="H2" s="3261"/>
      <c r="I2" s="3261"/>
      <c r="J2" s="3261" t="s">
        <v>26</v>
      </c>
      <c r="K2" s="3261"/>
      <c r="L2" s="3261"/>
      <c r="M2" s="3261"/>
    </row>
    <row r="3" spans="1:13" ht="28.5">
      <c r="A3" s="3260"/>
      <c r="B3" s="3260"/>
      <c r="C3" s="3260"/>
      <c r="D3" s="3261"/>
      <c r="E3" s="3261"/>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1" t="s">
        <v>42</v>
      </c>
      <c r="B9" s="3261"/>
      <c r="C9" s="3261"/>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F20" sqref="F20"/>
    </sheetView>
  </sheetViews>
  <sheetFormatPr defaultColWidth="9.125" defaultRowHeight="14.25"/>
  <cols>
    <col min="1" max="1" width="8.125" style="1970" customWidth="1"/>
    <col min="2" max="2" width="10.1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125" style="1970"/>
  </cols>
  <sheetData>
    <row r="1" spans="1:16" ht="18.75">
      <c r="A1" s="104" t="s">
        <v>202</v>
      </c>
      <c r="B1" s="1969"/>
      <c r="C1" s="1969"/>
      <c r="D1" s="1969"/>
      <c r="E1" s="1969"/>
      <c r="F1" s="1969"/>
      <c r="G1" s="1969"/>
      <c r="H1" s="1969"/>
      <c r="I1" s="1969"/>
      <c r="J1" s="1969"/>
      <c r="K1" s="1969"/>
      <c r="L1" s="1969"/>
    </row>
    <row r="2" spans="1:16" ht="15">
      <c r="A2" s="3271" t="s">
        <v>203</v>
      </c>
      <c r="B2" s="3271"/>
      <c r="C2" s="3271"/>
      <c r="D2" s="1960" t="s">
        <v>204</v>
      </c>
      <c r="E2" s="106" t="s">
        <v>205</v>
      </c>
      <c r="F2" s="1969"/>
      <c r="G2" s="1194"/>
      <c r="H2" s="1195"/>
      <c r="I2" s="1196" t="s">
        <v>857</v>
      </c>
      <c r="J2" s="1969"/>
      <c r="K2" s="1969"/>
      <c r="L2" s="1969"/>
    </row>
    <row r="3" spans="1:16" ht="15.75" thickBot="1">
      <c r="A3" s="3272" t="s">
        <v>206</v>
      </c>
      <c r="B3" s="3272"/>
      <c r="C3" s="3272"/>
      <c r="D3" s="107">
        <f>'数据-基础表'!AY6</f>
        <v>103373.22</v>
      </c>
      <c r="E3" s="107">
        <f>'数据-基础表'!AZ5</f>
        <v>310119.66000000003</v>
      </c>
      <c r="F3" s="1969"/>
      <c r="G3" s="280" t="s">
        <v>858</v>
      </c>
      <c r="H3" s="275" t="s">
        <v>859</v>
      </c>
      <c r="I3" s="1961">
        <f>ROUND('数据-基础表'!B3/'数据-基础表'!A3,2)</f>
        <v>3</v>
      </c>
      <c r="J3" s="1969"/>
      <c r="K3" s="1969"/>
      <c r="L3" s="1969"/>
    </row>
    <row r="4" spans="1:16" ht="15">
      <c r="A4" s="3273"/>
      <c r="B4" s="3274"/>
      <c r="C4" s="3275"/>
      <c r="D4" s="108" t="s">
        <v>204</v>
      </c>
      <c r="E4" s="109" t="s">
        <v>205</v>
      </c>
      <c r="F4" s="1969"/>
      <c r="G4" s="1197"/>
      <c r="H4" s="275" t="s">
        <v>860</v>
      </c>
      <c r="I4" s="1961">
        <f>ROUND(SUMIF('数据-基础表'!I9:AS9,"地上",'数据-基础表'!I5:AS5)/'数据-基础表'!A3,2)</f>
        <v>3</v>
      </c>
      <c r="J4" s="1969"/>
      <c r="K4" s="1969"/>
      <c r="L4" s="1969"/>
    </row>
    <row r="5" spans="1:16">
      <c r="A5" s="110" t="s">
        <v>207</v>
      </c>
      <c r="B5" s="3276" t="s">
        <v>230</v>
      </c>
      <c r="C5" s="3276"/>
      <c r="D5" s="111">
        <f>ROUND($D$3*E5/$E$3,2)</f>
        <v>87867.24</v>
      </c>
      <c r="E5" s="112">
        <f>SUMIF('数据-基础表'!$11:$11,"住宅",'数据-基础表'!$5:$5)</f>
        <v>263601.71000000002</v>
      </c>
      <c r="F5" s="1969"/>
      <c r="G5" s="280" t="s">
        <v>861</v>
      </c>
      <c r="H5" s="275" t="s">
        <v>859</v>
      </c>
      <c r="I5" s="1961">
        <f>ROUND(E31/D31,2)</f>
        <v>3</v>
      </c>
      <c r="J5" s="1969"/>
      <c r="K5" s="1969"/>
      <c r="L5" s="1969"/>
    </row>
    <row r="6" spans="1:16" ht="15" thickBot="1">
      <c r="A6" s="113"/>
      <c r="B6" s="3276" t="s">
        <v>208</v>
      </c>
      <c r="C6" s="3276"/>
      <c r="D6" s="111">
        <f>ROUND($D$3*E6/$E$3,2)</f>
        <v>15505.98</v>
      </c>
      <c r="E6" s="112">
        <f>E3-E5</f>
        <v>46517.950000000012</v>
      </c>
      <c r="F6" s="1969"/>
      <c r="G6" s="1197"/>
      <c r="H6" s="275" t="s">
        <v>860</v>
      </c>
      <c r="I6" s="1961">
        <f>ROUND(F31/D31,2)</f>
        <v>3</v>
      </c>
      <c r="J6" s="1969"/>
      <c r="K6" s="1969"/>
      <c r="L6" s="1969"/>
    </row>
    <row r="7" spans="1:16" ht="15">
      <c r="A7" s="3268"/>
      <c r="B7" s="3269"/>
      <c r="C7" s="3270"/>
      <c r="D7" s="108" t="s">
        <v>204</v>
      </c>
      <c r="E7" s="114" t="s">
        <v>231</v>
      </c>
      <c r="F7" s="1969"/>
      <c r="G7" s="1152" t="s">
        <v>1645</v>
      </c>
      <c r="H7" s="1153"/>
      <c r="I7" s="1831"/>
      <c r="J7" s="1969"/>
      <c r="K7" s="1969"/>
      <c r="L7" s="1969"/>
    </row>
    <row r="8" spans="1:16">
      <c r="A8" s="110" t="s">
        <v>209</v>
      </c>
      <c r="B8" s="115" t="s">
        <v>210</v>
      </c>
      <c r="C8" s="111" t="s">
        <v>211</v>
      </c>
      <c r="D8" s="111">
        <f t="shared" ref="D8:D15" si="0">ROUND($D$3*E8/$E$3,2)</f>
        <v>103373.22</v>
      </c>
      <c r="E8" s="116">
        <f>SUMIF('数据-基础表'!BB10:BK10,"地上",'数据-基础表'!BB5:BK5)</f>
        <v>310119.66000000003</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2324</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2331</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103373.22</v>
      </c>
      <c r="E16" s="120">
        <f>SUM(E8:E15)</f>
        <v>310119.66000000003</v>
      </c>
      <c r="F16" s="1969"/>
      <c r="G16" s="1971"/>
      <c r="H16" s="968" t="s">
        <v>219</v>
      </c>
      <c r="I16" s="969"/>
      <c r="J16" s="1969"/>
      <c r="K16" s="3262" t="s">
        <v>2562</v>
      </c>
      <c r="L16" s="3263"/>
      <c r="M16" s="3263"/>
      <c r="N16" s="3263"/>
      <c r="O16" s="3263"/>
      <c r="P16" s="3264"/>
    </row>
    <row r="17" spans="1:19" ht="15">
      <c r="A17" s="121" t="s">
        <v>216</v>
      </c>
      <c r="B17" s="122" t="s">
        <v>217</v>
      </c>
      <c r="C17" s="2283" t="s">
        <v>2310</v>
      </c>
      <c r="D17" s="108" t="s">
        <v>204</v>
      </c>
      <c r="E17" s="124" t="s">
        <v>205</v>
      </c>
      <c r="F17" s="125"/>
      <c r="G17" s="1362"/>
      <c r="H17" s="970" t="s">
        <v>218</v>
      </c>
      <c r="I17" s="971" t="s">
        <v>2309</v>
      </c>
      <c r="J17" s="1969"/>
      <c r="K17" s="3265" t="s">
        <v>2563</v>
      </c>
      <c r="L17" s="3266"/>
      <c r="M17" s="3267"/>
      <c r="N17" s="3265" t="s">
        <v>2564</v>
      </c>
      <c r="O17" s="3266"/>
      <c r="P17" s="3267"/>
      <c r="R17" s="2284" t="s">
        <v>2308</v>
      </c>
      <c r="S17" s="144"/>
    </row>
    <row r="18" spans="1:19" ht="15">
      <c r="A18" s="117"/>
      <c r="B18" s="128"/>
      <c r="C18" s="129"/>
      <c r="D18" s="2606"/>
      <c r="E18" s="130" t="s">
        <v>220</v>
      </c>
      <c r="F18" s="131" t="s">
        <v>221</v>
      </c>
      <c r="G18" s="1363" t="s">
        <v>222</v>
      </c>
      <c r="H18" s="972" t="s">
        <v>223</v>
      </c>
      <c r="I18" s="973" t="s">
        <v>224</v>
      </c>
      <c r="J18" s="1969"/>
      <c r="K18" s="2569" t="s">
        <v>2565</v>
      </c>
      <c r="L18" s="2570" t="s">
        <v>2566</v>
      </c>
      <c r="M18" s="2571" t="s">
        <v>2567</v>
      </c>
      <c r="N18" s="2569" t="s">
        <v>2565</v>
      </c>
      <c r="O18" s="2570" t="s">
        <v>2566</v>
      </c>
      <c r="P18" s="2571" t="s">
        <v>2567</v>
      </c>
      <c r="R18" s="2285" t="s">
        <v>2306</v>
      </c>
      <c r="S18" s="2285" t="s">
        <v>2307</v>
      </c>
    </row>
    <row r="19" spans="1:19">
      <c r="A19" s="133"/>
      <c r="B19" s="115" t="s">
        <v>225</v>
      </c>
      <c r="C19" s="2977" t="s">
        <v>3009</v>
      </c>
      <c r="D19" s="111">
        <f t="shared" ref="D19:D26" si="1">ROUND($D$3*E19/$E$3,2)</f>
        <v>87867.24</v>
      </c>
      <c r="E19" s="134">
        <f t="shared" ref="E19:E26" si="2">SUM(F19:G19)</f>
        <v>263601.71000000002</v>
      </c>
      <c r="F19" s="135">
        <f>'数据-基础表'!I13</f>
        <v>263601.71000000002</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87867.24</v>
      </c>
      <c r="S19" s="2286">
        <f t="shared" si="5"/>
        <v>263601.71000000002</v>
      </c>
    </row>
    <row r="20" spans="1:19">
      <c r="A20" s="138"/>
      <c r="B20" s="115" t="s">
        <v>226</v>
      </c>
      <c r="C20" s="2977" t="s">
        <v>3010</v>
      </c>
      <c r="D20" s="111">
        <f t="shared" si="1"/>
        <v>15505.98</v>
      </c>
      <c r="E20" s="134">
        <f t="shared" si="2"/>
        <v>46517.95</v>
      </c>
      <c r="F20" s="135">
        <f>'数据-基础表'!K13</f>
        <v>46517.95</v>
      </c>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15505.98</v>
      </c>
      <c r="S20" s="2286">
        <f t="shared" si="5"/>
        <v>46517.95</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103373.22</v>
      </c>
      <c r="E27" s="143">
        <f>IF(SUM(E19:E26)='数据-基础表'!BA5,SUM(E19:E26),IF(F27="地上面积有误","面积有误","地下面积有误"))</f>
        <v>310119.66000000003</v>
      </c>
      <c r="F27" s="134">
        <f>IF(SUM(F19:F26)=E8,SUM(F19:F26),"地上面积有误")</f>
        <v>310119.66000000003</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103373.22</v>
      </c>
      <c r="S27" s="275">
        <f>IF(SUM(S19:S26)=$E$3,SUM(S19:S26),SUM(S19:S26)&amp;"误差"&amp;ROUND(SUM(S19:S26)-E3,2))</f>
        <v>310119.66000000003</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2317</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2319</v>
      </c>
      <c r="D31" s="1368">
        <f>D27+D30</f>
        <v>103373.22</v>
      </c>
      <c r="E31" s="1368">
        <f>E27+E30</f>
        <v>310119.66000000003</v>
      </c>
      <c r="F31" s="1369">
        <f>F27+F30</f>
        <v>310119.66000000003</v>
      </c>
      <c r="G31" s="1370">
        <f>G27+G30</f>
        <v>0</v>
      </c>
      <c r="H31" s="1969"/>
      <c r="I31" s="1969"/>
      <c r="J31" s="1969"/>
      <c r="K31" s="1969"/>
      <c r="L31" s="1969"/>
    </row>
    <row r="32" spans="1:19">
      <c r="A32" s="1969"/>
      <c r="B32" s="2327" t="s">
        <v>2318</v>
      </c>
      <c r="C32" s="2611"/>
      <c r="D32" s="1197"/>
      <c r="E32" s="1197">
        <f>SUMIF(C19:C26,"*住宅*",E19:E26)</f>
        <v>263601.71000000002</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6" activePane="bottomRight" state="frozen"/>
      <selection pane="topRight" activeCell="D1" sqref="D1"/>
      <selection pane="bottomLeft" activeCell="A4" sqref="A4"/>
      <selection pane="bottomRight" activeCell="L8" sqref="L8"/>
    </sheetView>
  </sheetViews>
  <sheetFormatPr defaultColWidth="13.8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8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875" style="1199" customWidth="1"/>
    <col min="25" max="25" width="8.125" style="1199" customWidth="1"/>
    <col min="26" max="30" width="6.875" style="1199" customWidth="1"/>
    <col min="31" max="31" width="6.5" style="1199" customWidth="1"/>
    <col min="32" max="34" width="7.125" style="1199" customWidth="1"/>
    <col min="35" max="39" width="8" style="1199" customWidth="1"/>
    <col min="40" max="41" width="13.875" style="1983"/>
    <col min="42" max="42" width="0" style="1983" hidden="1" customWidth="1"/>
    <col min="43" max="83" width="13.875" style="1983"/>
    <col min="84" max="16384" width="13.875"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43927</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2321</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2823</v>
      </c>
      <c r="O5" s="163" t="s">
        <v>246</v>
      </c>
      <c r="P5" s="165" t="s">
        <v>247</v>
      </c>
      <c r="Q5" s="166" t="s">
        <v>248</v>
      </c>
      <c r="R5" s="167" t="s">
        <v>249</v>
      </c>
      <c r="S5" s="2585" t="s">
        <v>2568</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2320</v>
      </c>
      <c r="AI5" s="171" t="s">
        <v>2289</v>
      </c>
      <c r="AJ5" s="171" t="s">
        <v>258</v>
      </c>
      <c r="AK5" s="159" t="s">
        <v>259</v>
      </c>
      <c r="AL5" s="159" t="s">
        <v>260</v>
      </c>
      <c r="AM5" s="172" t="s">
        <v>261</v>
      </c>
      <c r="AN5" s="2355" t="s">
        <v>2370</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住宅</v>
      </c>
      <c r="B6" s="2322" t="str">
        <f>IF(A6=0,"","经营性")</f>
        <v>经营性</v>
      </c>
      <c r="C6" s="173" t="s">
        <v>923</v>
      </c>
      <c r="D6" s="2293">
        <f>SUMIF(项目基本情况!D$15:I$15,C6,项目基本情况!D$18:I$18)</f>
        <v>70</v>
      </c>
      <c r="E6" s="2294">
        <f>IF(B6="","",SUMIF(项目基本情况!D$15:I$15,C6,项目基本情况!D$17:I$17))</f>
        <v>68174</v>
      </c>
      <c r="F6" s="174">
        <f>SUMIF(项目基本情况!D$15:I$15,C6,项目基本情况!D$19:I$19)</f>
        <v>66.430000000000007</v>
      </c>
      <c r="G6" s="175">
        <f>IF(ISERROR(ROUND(POWER(1+H6,D6-F6)*(POWER(1+H6,F6)-1)/(POWER(1+H6,D6)-1),3)),0,ROUND(POWER(1+H6,D6-F6)*(POWER(1+H6,F6)-1)/(POWER(1+H6,D6)-1),3))</f>
        <v>0.99199999999999999</v>
      </c>
      <c r="H6" s="2978">
        <v>4.4999999999999998E-2</v>
      </c>
      <c r="I6" s="2978">
        <v>0.05</v>
      </c>
      <c r="J6" s="176">
        <v>8.5000000000000006E-2</v>
      </c>
      <c r="K6" s="179">
        <f>SUMIF('数据-汇总表'!C$19:C$33,'数据-取费表'!A6,'数据-汇总表'!E$19:E$33)</f>
        <v>263601.71000000002</v>
      </c>
      <c r="L6" s="2979">
        <v>2500</v>
      </c>
      <c r="M6" s="177">
        <f t="shared" ref="M6:M14" si="0">ROUND(K6*L6/10000,0)</f>
        <v>65900</v>
      </c>
      <c r="N6" s="2980">
        <v>0</v>
      </c>
      <c r="O6" s="177">
        <f>IF($N$5="成新度","——",ROUND(M6*N6,0))</f>
        <v>0</v>
      </c>
      <c r="P6" s="178">
        <f>IF($N$5="成新度","——",M6-O6)</f>
        <v>65900</v>
      </c>
      <c r="Q6" s="2981">
        <v>0.15</v>
      </c>
      <c r="R6" s="179">
        <f>SUMIF('数据-汇总表'!C$19:C$33,A6,'数据-汇总表'!R$19:R$33)</f>
        <v>87867.24</v>
      </c>
      <c r="S6" s="132">
        <f>IF('数据-汇总表'!$I$17="按面积比例",SUMIF('数据-汇总表'!C$19:C$33,A6,'数据-汇总表'!K$19:K$33),SUMIF('数据-汇总表'!C$19:C$33,A6,'数据-汇总表'!N$19:N$33))</f>
        <v>0</v>
      </c>
      <c r="T6" s="2219" t="str">
        <f>IF($T$4="按面积比例",IF(ISERROR(ROUND($M$14*S6/S$16,0)),"0",ROUND($M$14*S6/S$16,0)),"需自行计算录入")</f>
        <v>0</v>
      </c>
      <c r="U6" s="180"/>
      <c r="V6" s="181"/>
      <c r="W6" s="181"/>
      <c r="X6" s="2306"/>
      <c r="Y6" s="182"/>
      <c r="Z6" s="183"/>
      <c r="AA6" s="176"/>
      <c r="AB6" s="176"/>
      <c r="AC6" s="2309"/>
      <c r="AD6" s="184"/>
      <c r="AE6" s="972">
        <f ca="1">IF(AN6="",0,SUMIF(INDIRECT("'"&amp;AN6&amp;"'"&amp;"!E:E"),$AE$5,INDIRECT("'"&amp;AN6&amp;"'"&amp;"!F:F")))</f>
        <v>0</v>
      </c>
      <c r="AF6" s="141"/>
      <c r="AG6" s="1209">
        <f>IF(AF6="",0,AE6-AF6)</f>
        <v>0</v>
      </c>
      <c r="AH6" s="141"/>
      <c r="AI6" s="187"/>
      <c r="AJ6" s="188"/>
      <c r="AK6" s="189"/>
      <c r="AL6" s="190"/>
      <c r="AM6" s="2992"/>
      <c r="AN6" s="2356"/>
      <c r="AO6" s="1985"/>
      <c r="AP6" s="1200">
        <f>ROUND(1-1/(1+H6)^F6,3)</f>
        <v>0.94599999999999995</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t="str">
        <f>'数据-汇总表'!C20</f>
        <v>商业</v>
      </c>
      <c r="B7" s="2322" t="str">
        <f t="shared" ref="B7:B13" si="1">IF(A7=0,"","经营性")</f>
        <v>经营性</v>
      </c>
      <c r="C7" s="173" t="s">
        <v>3000</v>
      </c>
      <c r="D7" s="2293">
        <f>SUMIF(项目基本情况!D$15:I$15,C7,项目基本情况!D$18:I$18)</f>
        <v>40</v>
      </c>
      <c r="E7" s="2294">
        <f>IF(B7="","",SUMIF(项目基本情况!D$15:I$15,C7,项目基本情况!D$17:I$17))</f>
        <v>57217</v>
      </c>
      <c r="F7" s="174">
        <f>SUMIF(项目基本情况!D$15:I$15,C7,项目基本情况!D$19:I$19)</f>
        <v>36.409999999999997</v>
      </c>
      <c r="G7" s="175">
        <f t="shared" ref="G7:G11" si="2">IF(ISERROR(ROUND(POWER(1+H7,D7-F7)*(POWER(1+H7,F7)-1)/(POWER(1+H7,D7)-1),3)),0,ROUND(POWER(1+H7,D7-F7)*(POWER(1+H7,F7)-1)/(POWER(1+H7,D7)-1),3))</f>
        <v>0.96799999999999997</v>
      </c>
      <c r="H7" s="2978">
        <v>0.05</v>
      </c>
      <c r="I7" s="2978">
        <v>5.5E-2</v>
      </c>
      <c r="J7" s="176">
        <v>8.5000000000000006E-2</v>
      </c>
      <c r="K7" s="179">
        <f>SUMIF('数据-汇总表'!C$19:C$33,'数据-取费表'!A7,'数据-汇总表'!E$19:E$33)</f>
        <v>46517.95</v>
      </c>
      <c r="L7" s="2979">
        <f>L6</f>
        <v>2500</v>
      </c>
      <c r="M7" s="177">
        <f t="shared" si="0"/>
        <v>11629</v>
      </c>
      <c r="N7" s="2980">
        <f>N6</f>
        <v>0</v>
      </c>
      <c r="O7" s="177">
        <f t="shared" ref="O7:O14" si="3">IF($N$5="成新度","——",ROUND(M7*N7,0))</f>
        <v>0</v>
      </c>
      <c r="P7" s="178">
        <f t="shared" ref="P7:P14" si="4">IF($N$5="成新度","——",M7-O7)</f>
        <v>11629</v>
      </c>
      <c r="Q7" s="2981">
        <v>0.15</v>
      </c>
      <c r="R7" s="179">
        <f>SUMIF('数据-汇总表'!C$19:C$33,A7,'数据-汇总表'!R$19:R$33)</f>
        <v>15505.98</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v>1.5</v>
      </c>
      <c r="V7" s="181">
        <v>2.5000000000000001E-2</v>
      </c>
      <c r="W7" s="181">
        <v>0.1</v>
      </c>
      <c r="X7" s="2306"/>
      <c r="Y7" s="182">
        <v>1</v>
      </c>
      <c r="Z7" s="183"/>
      <c r="AA7" s="176"/>
      <c r="AB7" s="176"/>
      <c r="AC7" s="2309"/>
      <c r="AD7" s="184"/>
      <c r="AE7" s="972">
        <f t="shared" ref="AE7:AE13" ca="1" si="6">IF(AN7="",0,SUMIF(INDIRECT("'"&amp;AN7&amp;"'"&amp;"!E:E"),$AE$5,INDIRECT("'"&amp;AN7&amp;"'"&amp;"!F:F")))</f>
        <v>34.409999999999997</v>
      </c>
      <c r="AF7" s="141"/>
      <c r="AG7" s="1209">
        <f t="shared" ref="AG7:AG13" si="7">IF(AF7="",0,AE7-AF7)</f>
        <v>0</v>
      </c>
      <c r="AH7" s="141"/>
      <c r="AI7" s="187">
        <v>365</v>
      </c>
      <c r="AJ7" s="188"/>
      <c r="AK7" s="189">
        <v>1.4999999999999999E-2</v>
      </c>
      <c r="AL7" s="3183">
        <v>1.5E-3</v>
      </c>
      <c r="AM7" s="2354">
        <v>0.01</v>
      </c>
      <c r="AN7" s="2356" t="s">
        <v>3011</v>
      </c>
      <c r="AO7" s="1985"/>
      <c r="AP7" s="1200">
        <f t="shared" ref="AP7:AP13" si="8">ROUND(1-1/(1+H7)^F7,3)</f>
        <v>0.83099999999999996</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2311</v>
      </c>
      <c r="B14" s="2291" t="s">
        <v>1679</v>
      </c>
      <c r="C14" s="2292" t="s">
        <v>2311</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2313</v>
      </c>
      <c r="B15" s="2291" t="s">
        <v>1679</v>
      </c>
      <c r="C15" s="2292" t="s">
        <v>2312</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0.98799999999999999</v>
      </c>
      <c r="H16" s="203">
        <f>ROUND(SUMPRODUCT(H6:H13,K6:K13)/SUMPRODUCT((H6:H13&gt;0)*(K6:K13)),3)</f>
        <v>4.5999999999999999E-2</v>
      </c>
      <c r="I16" s="204"/>
      <c r="J16" s="204"/>
      <c r="K16" s="205">
        <f>SUM(K6:K15)</f>
        <v>310119.66000000003</v>
      </c>
      <c r="L16" s="206">
        <f>ROUND(M16*10000/SUM(K6:K14),0)</f>
        <v>2500</v>
      </c>
      <c r="M16" s="206">
        <f>SUM(M6:M14)</f>
        <v>77529</v>
      </c>
      <c r="N16" s="207">
        <f>ROUND(SUMPRODUCT(M6:M14,N6:N14)/M16,3)</f>
        <v>0</v>
      </c>
      <c r="O16" s="206">
        <f>SUM(O6:O14)</f>
        <v>0</v>
      </c>
      <c r="P16" s="206">
        <f>SUM(P6:P14)</f>
        <v>77529</v>
      </c>
      <c r="Q16" s="208">
        <f>ROUND(SUMPRODUCT(Q6:Q13,K6:K13)/SUMPRODUCT((Q6:Q13&gt;0)*(K6:K13)),2)</f>
        <v>0.15</v>
      </c>
      <c r="R16" s="2296">
        <f>SUM(R6:R13)</f>
        <v>103373.22</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0.92900000000000005</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2333</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v>
      </c>
      <c r="C20" s="2328" t="s">
        <v>2332</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v>
      </c>
      <c r="C22" s="1977"/>
      <c r="D22" s="1978"/>
      <c r="E22" s="1977"/>
      <c r="F22" s="1977"/>
      <c r="G22" s="1977"/>
      <c r="H22" s="1977"/>
      <c r="I22" s="1977"/>
      <c r="J22" s="1977"/>
      <c r="K22" s="1976"/>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2335</v>
      </c>
      <c r="B27" s="227">
        <v>120</v>
      </c>
      <c r="C27" s="2331" t="s">
        <v>2339</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2336</v>
      </c>
      <c r="B28" s="229">
        <v>120</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2334</v>
      </c>
      <c r="B29" s="232">
        <v>0</v>
      </c>
      <c r="C29" s="1539" t="s">
        <v>2337</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200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2888</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0.03</v>
      </c>
      <c r="C34" s="2329" t="s">
        <v>2889</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200</v>
      </c>
      <c r="C35" s="2329" t="s">
        <v>2890</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2891</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0.02</v>
      </c>
      <c r="C37" s="2329" t="s">
        <v>2892</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2892</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2452</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2453</v>
      </c>
      <c r="B40" s="2445">
        <f ca="1">存贷款利率!E2</f>
        <v>4.7500000000000001E-2</v>
      </c>
      <c r="C40" s="2329" t="s">
        <v>2338</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5.5000000000000007E-2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5.000000000000001E-3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2893</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2894</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2895</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v>0</v>
      </c>
      <c r="C47" s="3026" t="s">
        <v>2896</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2897</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2898</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5</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1407</v>
      </c>
      <c r="C53" s="3028" t="s">
        <v>2899</v>
      </c>
      <c r="D53" s="3029" t="s">
        <v>2900</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2901</v>
      </c>
      <c r="B54" s="186"/>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2902</v>
      </c>
      <c r="B55" s="186"/>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2903</v>
      </c>
      <c r="B56" s="186"/>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2904</v>
      </c>
      <c r="B57" s="186"/>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2905</v>
      </c>
      <c r="B58" s="186">
        <v>5</v>
      </c>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2906</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2907</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2908</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2909</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2910</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875" style="2009" customWidth="1"/>
    <col min="10" max="10" width="2.625" style="2010" customWidth="1"/>
    <col min="11" max="11" width="11.875" style="2008" customWidth="1"/>
    <col min="12" max="12" width="16.875" style="2009" customWidth="1"/>
    <col min="13" max="13" width="2.625" style="2010" customWidth="1"/>
    <col min="14" max="14" width="11.875" style="2008" customWidth="1"/>
    <col min="15" max="15" width="16.875" style="2009" customWidth="1"/>
    <col min="16" max="16" width="2.625" style="2010" customWidth="1"/>
    <col min="17" max="17" width="11.875" style="2008" customWidth="1"/>
    <col min="18" max="18" width="16.875" style="2011" customWidth="1"/>
    <col min="19" max="16384" width="9" style="1993"/>
  </cols>
  <sheetData>
    <row r="1" spans="1:18" s="1992" customFormat="1" ht="19.5" thickBot="1">
      <c r="A1" s="3277" t="s">
        <v>1663</v>
      </c>
      <c r="B1" s="3278"/>
      <c r="C1" s="3278"/>
      <c r="D1" s="3278"/>
      <c r="E1" s="3278"/>
      <c r="F1" s="3278"/>
      <c r="G1" s="3278"/>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2917</v>
      </c>
      <c r="D3" s="1994"/>
      <c r="E3" s="1225" t="s">
        <v>1666</v>
      </c>
      <c r="F3" s="1226" t="s">
        <v>1654</v>
      </c>
      <c r="G3" s="3037" t="s">
        <v>2916</v>
      </c>
      <c r="H3" s="1993"/>
      <c r="I3" s="1993"/>
      <c r="J3" s="1993"/>
      <c r="K3" s="1993"/>
      <c r="L3" s="1993"/>
      <c r="M3" s="1993"/>
      <c r="N3" s="1993"/>
      <c r="O3" s="1993"/>
      <c r="P3" s="1993"/>
      <c r="Q3" s="1993"/>
      <c r="R3" s="1993"/>
    </row>
    <row r="4" spans="1:18" ht="41.25">
      <c r="A4" s="1225"/>
      <c r="B4" s="1227" t="s">
        <v>1667</v>
      </c>
      <c r="C4" s="3034" t="s">
        <v>2918</v>
      </c>
      <c r="D4" s="1994"/>
      <c r="E4" s="1228"/>
      <c r="F4" s="1229" t="s">
        <v>1668</v>
      </c>
      <c r="G4" s="3035" t="s">
        <v>2913</v>
      </c>
      <c r="H4" s="1993"/>
      <c r="I4" s="1993"/>
      <c r="J4" s="1993"/>
      <c r="K4" s="1993"/>
      <c r="L4" s="1993"/>
      <c r="M4" s="1993"/>
      <c r="N4" s="1993"/>
      <c r="O4" s="1993"/>
      <c r="P4" s="1993"/>
      <c r="Q4" s="1993"/>
      <c r="R4" s="1993"/>
    </row>
    <row r="5" spans="1:18" ht="41.25">
      <c r="A5" s="1225"/>
      <c r="B5" s="1227" t="s">
        <v>1669</v>
      </c>
      <c r="C5" s="3034" t="s">
        <v>2919</v>
      </c>
      <c r="D5" s="1994"/>
      <c r="E5" s="1228"/>
      <c r="F5" s="1227" t="s">
        <v>2542</v>
      </c>
      <c r="G5" s="3035" t="s">
        <v>2914</v>
      </c>
      <c r="H5" s="1993"/>
      <c r="I5" s="1993"/>
      <c r="J5" s="1993"/>
      <c r="K5" s="1993"/>
      <c r="L5" s="1993"/>
      <c r="M5" s="1993"/>
      <c r="N5" s="1993"/>
      <c r="O5" s="1993"/>
      <c r="P5" s="1993"/>
      <c r="Q5" s="1993"/>
      <c r="R5" s="1993"/>
    </row>
    <row r="6" spans="1:18" ht="54">
      <c r="A6" s="1225"/>
      <c r="B6" s="1227" t="s">
        <v>1655</v>
      </c>
      <c r="C6" s="3035" t="s">
        <v>2913</v>
      </c>
      <c r="D6" s="1994"/>
      <c r="E6" s="1228"/>
      <c r="F6" s="1227" t="s">
        <v>2543</v>
      </c>
      <c r="G6" s="3035" t="s">
        <v>2911</v>
      </c>
      <c r="H6" s="1993"/>
      <c r="I6" s="1993"/>
      <c r="J6" s="1993"/>
      <c r="K6" s="1993"/>
      <c r="L6" s="1993"/>
      <c r="M6" s="1993"/>
      <c r="N6" s="1993"/>
      <c r="O6" s="1993"/>
      <c r="P6" s="1993"/>
      <c r="Q6" s="1993"/>
      <c r="R6" s="1993"/>
    </row>
    <row r="7" spans="1:18" ht="41.25" thickBot="1">
      <c r="A7" s="1225"/>
      <c r="B7" s="1227" t="s">
        <v>2542</v>
      </c>
      <c r="C7" s="3035" t="s">
        <v>2914</v>
      </c>
      <c r="D7" s="1995"/>
      <c r="E7" s="1230"/>
      <c r="F7" s="1231" t="s">
        <v>1670</v>
      </c>
      <c r="G7" s="3038" t="s">
        <v>2915</v>
      </c>
      <c r="H7" s="1993"/>
      <c r="I7" s="1993"/>
      <c r="J7" s="1993"/>
      <c r="K7" s="1993"/>
      <c r="L7" s="1993"/>
      <c r="M7" s="1993"/>
      <c r="N7" s="1993"/>
      <c r="O7" s="1993"/>
      <c r="P7" s="1993"/>
      <c r="Q7" s="1993"/>
      <c r="R7" s="1993"/>
    </row>
    <row r="8" spans="1:18" ht="27">
      <c r="A8" s="1225"/>
      <c r="B8" s="1227" t="s">
        <v>2543</v>
      </c>
      <c r="C8" s="3035" t="s">
        <v>2911</v>
      </c>
      <c r="D8" s="1995"/>
      <c r="E8" s="1995"/>
      <c r="F8" s="1540"/>
      <c r="G8" s="1540"/>
      <c r="H8" s="1993"/>
      <c r="I8" s="1993"/>
      <c r="J8" s="1993"/>
      <c r="K8" s="1993"/>
      <c r="L8" s="1993"/>
      <c r="M8" s="1993"/>
      <c r="N8" s="1993"/>
      <c r="O8" s="1993"/>
      <c r="P8" s="1993"/>
      <c r="Q8" s="1993"/>
      <c r="R8" s="1993"/>
    </row>
    <row r="9" spans="1:18" ht="40.5">
      <c r="A9" s="1225"/>
      <c r="B9" s="1227" t="s">
        <v>1656</v>
      </c>
      <c r="C9" s="3034" t="s">
        <v>2912</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2542</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2543</v>
      </c>
      <c r="G20" s="1005" t="str">
        <f>G6</f>
        <v>估价对象所在区域基础设施水平</v>
      </c>
    </row>
    <row r="21" spans="1:7" ht="27">
      <c r="A21" s="2553"/>
      <c r="B21" s="1227" t="s">
        <v>2542</v>
      </c>
      <c r="C21" s="1005" t="str">
        <f>C7</f>
        <v>估价对象所在区域公共配套设施齐备情况</v>
      </c>
      <c r="D21" s="1994"/>
      <c r="E21" s="2550"/>
      <c r="F21" s="1243" t="s">
        <v>1661</v>
      </c>
      <c r="G21" s="3039"/>
    </row>
    <row r="22" spans="1:7" ht="27">
      <c r="A22" s="2553"/>
      <c r="B22" s="1227" t="s">
        <v>2543</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C10" sqref="C10"/>
    </sheetView>
  </sheetViews>
  <sheetFormatPr defaultColWidth="14.625" defaultRowHeight="13.5"/>
  <cols>
    <col min="1" max="1" width="24.375" customWidth="1"/>
  </cols>
  <sheetData>
    <row r="1" spans="1:9" ht="16.5">
      <c r="A1" s="2997" t="s">
        <v>2839</v>
      </c>
      <c r="B1" s="2997">
        <f>SUM(B14:B23)</f>
        <v>548265.66</v>
      </c>
      <c r="C1" s="2998"/>
      <c r="D1" s="2998"/>
      <c r="E1" s="2998"/>
      <c r="F1" s="2998"/>
    </row>
    <row r="2" spans="1:9" ht="16.5">
      <c r="A2" s="2997" t="s">
        <v>2840</v>
      </c>
      <c r="B2" s="2997">
        <f>SUM(C14:C23)</f>
        <v>182755.22</v>
      </c>
      <c r="C2" s="2998"/>
      <c r="D2" s="2998"/>
      <c r="E2" s="2998"/>
      <c r="F2" s="2998"/>
    </row>
    <row r="3" spans="1:9" ht="16.5">
      <c r="A3" s="2997" t="s">
        <v>2841</v>
      </c>
      <c r="B3" s="2999">
        <f>项目基本情况!D3</f>
        <v>43927</v>
      </c>
      <c r="C3" s="2998"/>
      <c r="D3" s="2998"/>
      <c r="E3" s="2998"/>
      <c r="F3" s="2998"/>
    </row>
    <row r="4" spans="1:9" ht="33">
      <c r="A4" s="2997" t="s">
        <v>2842</v>
      </c>
      <c r="B4" s="2997" t="s">
        <v>2843</v>
      </c>
      <c r="C4" s="2997" t="s">
        <v>2844</v>
      </c>
      <c r="D4" s="2997" t="s">
        <v>2845</v>
      </c>
      <c r="E4" s="2998"/>
      <c r="F4" s="2998"/>
    </row>
    <row r="5" spans="1:9" ht="16.5">
      <c r="A5" s="2997" t="s">
        <v>2846</v>
      </c>
      <c r="B5" s="2997">
        <f ca="1">SUM(D14:D23)</f>
        <v>110608</v>
      </c>
      <c r="C5" s="2997">
        <f ca="1">ROUND(B5*10000/$B$1,0)</f>
        <v>2017</v>
      </c>
      <c r="D5" s="2997">
        <f ca="1">ROUND(B5*10000/$B$2,0)</f>
        <v>6052</v>
      </c>
      <c r="E5" s="2998"/>
      <c r="F5" s="2998"/>
    </row>
    <row r="6" spans="1:9" ht="16.5">
      <c r="A6" s="2997" t="s">
        <v>2847</v>
      </c>
      <c r="B6" s="2997">
        <f ca="1">SUM(G14:G23)</f>
        <v>110608</v>
      </c>
      <c r="C6" s="2997">
        <f t="shared" ref="C6:C8" ca="1" si="0">ROUND(B6*10000/$B$1,0)</f>
        <v>2017</v>
      </c>
      <c r="D6" s="2997">
        <f t="shared" ref="D6:D8" ca="1" si="1">ROUND(B6*10000/$B$2,0)</f>
        <v>6052</v>
      </c>
      <c r="E6" s="2998"/>
      <c r="F6" s="2998"/>
    </row>
    <row r="7" spans="1:9" ht="16.5">
      <c r="A7" s="2997" t="s">
        <v>2848</v>
      </c>
      <c r="B7" s="2997">
        <f>SUM(H14:H23)</f>
        <v>0</v>
      </c>
      <c r="C7" s="2997">
        <f t="shared" si="0"/>
        <v>0</v>
      </c>
      <c r="D7" s="2997">
        <f t="shared" si="1"/>
        <v>0</v>
      </c>
      <c r="E7" s="2998"/>
      <c r="F7" s="2998"/>
    </row>
    <row r="8" spans="1:9" ht="16.5">
      <c r="A8" s="2997" t="s">
        <v>2849</v>
      </c>
      <c r="B8" s="2997">
        <f>SUM(I14:I23)</f>
        <v>0</v>
      </c>
      <c r="C8" s="2997">
        <f t="shared" si="0"/>
        <v>0</v>
      </c>
      <c r="D8" s="2997">
        <f t="shared" si="1"/>
        <v>0</v>
      </c>
      <c r="E8" s="2998"/>
      <c r="F8" s="2998"/>
    </row>
    <row r="9" spans="1:9" ht="16.5">
      <c r="A9" s="2997" t="s">
        <v>2850</v>
      </c>
      <c r="B9" s="3000"/>
      <c r="C9" s="2998"/>
      <c r="D9" s="2998"/>
      <c r="E9" s="2998"/>
      <c r="F9" s="2998"/>
    </row>
    <row r="10" spans="1:9" ht="16.5">
      <c r="A10" s="2997" t="s">
        <v>2851</v>
      </c>
      <c r="B10" s="3000"/>
      <c r="C10" s="2998"/>
      <c r="D10" s="2998"/>
      <c r="E10" s="2998"/>
      <c r="F10" s="2998"/>
    </row>
    <row r="11" spans="1:9" ht="16.5">
      <c r="A11" s="2997" t="s">
        <v>2868</v>
      </c>
      <c r="B11" s="3000"/>
      <c r="C11" s="2998"/>
      <c r="D11" s="2998"/>
      <c r="E11" s="2998"/>
      <c r="F11" s="2998"/>
    </row>
    <row r="12" spans="1:9" ht="16.5">
      <c r="A12" s="2998"/>
      <c r="B12" s="2998"/>
      <c r="C12" s="2998"/>
      <c r="D12" s="2998"/>
      <c r="E12" s="2998"/>
      <c r="F12" s="2998"/>
    </row>
    <row r="13" spans="1:9" ht="33">
      <c r="A13" s="3003" t="s">
        <v>2867</v>
      </c>
      <c r="B13" s="3001" t="s">
        <v>2839</v>
      </c>
      <c r="C13" s="3001" t="s">
        <v>2840</v>
      </c>
      <c r="D13" s="3001" t="s">
        <v>2852</v>
      </c>
      <c r="E13" s="2997" t="s">
        <v>2866</v>
      </c>
      <c r="F13" s="2997" t="s">
        <v>2845</v>
      </c>
      <c r="G13" s="3001" t="s">
        <v>2853</v>
      </c>
      <c r="H13" s="3001" t="s">
        <v>2854</v>
      </c>
      <c r="I13" s="3001" t="s">
        <v>2855</v>
      </c>
    </row>
    <row r="14" spans="1:9" ht="16.5">
      <c r="A14" s="3004" t="s">
        <v>2865</v>
      </c>
      <c r="B14" s="3001">
        <f>结果表!L38</f>
        <v>310119.66000000003</v>
      </c>
      <c r="C14" s="3001">
        <f>结果表!K38</f>
        <v>103373.22</v>
      </c>
      <c r="D14" s="3001">
        <f ca="1">结果表!C42</f>
        <v>63063</v>
      </c>
      <c r="E14" s="3001">
        <f ca="1">ROUND(D14*10000/B14,0)</f>
        <v>2034</v>
      </c>
      <c r="F14" s="3001">
        <f ca="1">ROUND(D14*10000/C14,0)</f>
        <v>6101</v>
      </c>
      <c r="G14" s="3001">
        <f ca="1">结果表!C44</f>
        <v>63063</v>
      </c>
      <c r="H14" s="3001" t="str">
        <f>结果表!C45</f>
        <v>——</v>
      </c>
      <c r="I14" s="3001" t="str">
        <f>结果表!C46</f>
        <v>——</v>
      </c>
    </row>
    <row r="15" spans="1:9" ht="16.5">
      <c r="A15" s="3004" t="s">
        <v>2856</v>
      </c>
      <c r="B15" s="3005">
        <f>[1]系统读取表!$B$14</f>
        <v>238146</v>
      </c>
      <c r="C15" s="3005">
        <f>[1]系统读取表!$C$14</f>
        <v>79382</v>
      </c>
      <c r="D15" s="3005">
        <f ca="1">[1]系统读取表!$D$14</f>
        <v>47545</v>
      </c>
      <c r="E15" s="3001">
        <f t="shared" ref="E15:E23" ca="1" si="2">ROUND(D15*10000/B15,0)</f>
        <v>1996</v>
      </c>
      <c r="F15" s="3001">
        <f t="shared" ref="F15:F23" ca="1" si="3">ROUND(D15*10000/C15,0)</f>
        <v>5989</v>
      </c>
      <c r="G15" s="3002">
        <f ca="1">[1]系统读取表!$G$14</f>
        <v>47545</v>
      </c>
      <c r="H15" s="3002" t="str">
        <f>[1]系统读取表!$H$14</f>
        <v>——</v>
      </c>
      <c r="I15" s="3005" t="str">
        <f>[1]系统读取表!$I$14</f>
        <v>——</v>
      </c>
    </row>
    <row r="16" spans="1:9" ht="16.5">
      <c r="A16" s="3004" t="s">
        <v>2857</v>
      </c>
      <c r="B16" s="3005"/>
      <c r="C16" s="3005"/>
      <c r="D16" s="3005"/>
      <c r="E16" s="3001" t="e">
        <f t="shared" si="2"/>
        <v>#DIV/0!</v>
      </c>
      <c r="F16" s="3001" t="e">
        <f t="shared" si="3"/>
        <v>#DIV/0!</v>
      </c>
      <c r="G16" s="3002"/>
      <c r="H16" s="3002"/>
      <c r="I16" s="3005"/>
    </row>
    <row r="17" spans="1:9" ht="16.5">
      <c r="A17" s="3004" t="s">
        <v>2858</v>
      </c>
      <c r="B17" s="3005"/>
      <c r="C17" s="3005"/>
      <c r="D17" s="3005"/>
      <c r="E17" s="3001" t="e">
        <f t="shared" si="2"/>
        <v>#DIV/0!</v>
      </c>
      <c r="F17" s="3001" t="e">
        <f t="shared" si="3"/>
        <v>#DIV/0!</v>
      </c>
      <c r="G17" s="3002"/>
      <c r="H17" s="3002"/>
      <c r="I17" s="3005"/>
    </row>
    <row r="18" spans="1:9" ht="16.5">
      <c r="A18" s="3004" t="s">
        <v>2859</v>
      </c>
      <c r="B18" s="3005"/>
      <c r="C18" s="3005"/>
      <c r="D18" s="3005"/>
      <c r="E18" s="3001" t="e">
        <f t="shared" si="2"/>
        <v>#DIV/0!</v>
      </c>
      <c r="F18" s="3001" t="e">
        <f t="shared" si="3"/>
        <v>#DIV/0!</v>
      </c>
      <c r="G18" s="3005"/>
      <c r="H18" s="3005"/>
      <c r="I18" s="3005"/>
    </row>
    <row r="19" spans="1:9" ht="16.5">
      <c r="A19" s="3004" t="s">
        <v>2860</v>
      </c>
      <c r="B19" s="3005"/>
      <c r="C19" s="3005"/>
      <c r="D19" s="3005"/>
      <c r="E19" s="3001" t="e">
        <f t="shared" si="2"/>
        <v>#DIV/0!</v>
      </c>
      <c r="F19" s="3001" t="e">
        <f t="shared" si="3"/>
        <v>#DIV/0!</v>
      </c>
      <c r="G19" s="3005"/>
      <c r="H19" s="3005"/>
      <c r="I19" s="3005"/>
    </row>
    <row r="20" spans="1:9" ht="16.5">
      <c r="A20" s="3004" t="s">
        <v>2861</v>
      </c>
      <c r="B20" s="3005"/>
      <c r="C20" s="3005"/>
      <c r="D20" s="3005"/>
      <c r="E20" s="3001" t="e">
        <f t="shared" si="2"/>
        <v>#DIV/0!</v>
      </c>
      <c r="F20" s="3001" t="e">
        <f t="shared" si="3"/>
        <v>#DIV/0!</v>
      </c>
      <c r="G20" s="3005"/>
      <c r="H20" s="3005"/>
      <c r="I20" s="3005"/>
    </row>
    <row r="21" spans="1:9" ht="16.5">
      <c r="A21" s="3004" t="s">
        <v>2862</v>
      </c>
      <c r="B21" s="3005"/>
      <c r="C21" s="3005"/>
      <c r="D21" s="3005"/>
      <c r="E21" s="3001" t="e">
        <f t="shared" si="2"/>
        <v>#DIV/0!</v>
      </c>
      <c r="F21" s="3001" t="e">
        <f t="shared" si="3"/>
        <v>#DIV/0!</v>
      </c>
      <c r="G21" s="3005"/>
      <c r="H21" s="3005"/>
      <c r="I21" s="3005"/>
    </row>
    <row r="22" spans="1:9" ht="16.5">
      <c r="A22" s="3004" t="s">
        <v>2863</v>
      </c>
      <c r="B22" s="3005"/>
      <c r="C22" s="3005"/>
      <c r="D22" s="3005"/>
      <c r="E22" s="3001" t="e">
        <f t="shared" si="2"/>
        <v>#DIV/0!</v>
      </c>
      <c r="F22" s="3001" t="e">
        <f t="shared" si="3"/>
        <v>#DIV/0!</v>
      </c>
      <c r="G22" s="3005"/>
      <c r="H22" s="3005"/>
      <c r="I22" s="3005"/>
    </row>
    <row r="23" spans="1:9" ht="16.5">
      <c r="A23" s="3004" t="s">
        <v>2864</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10" zoomScaleNormal="100" zoomScaleSheetLayoutView="100" zoomScalePageLayoutView="80" workbookViewId="0">
      <selection activeCell="F30" sqref="F30"/>
    </sheetView>
  </sheetViews>
  <sheetFormatPr defaultColWidth="12.625" defaultRowHeight="21.75" customHeight="1"/>
  <cols>
    <col min="1" max="2" width="12.875" style="1246" bestFit="1" customWidth="1"/>
    <col min="3" max="4" width="12.625" style="1246" customWidth="1"/>
    <col min="5" max="9" width="12.875" style="1246" bestFit="1" customWidth="1"/>
    <col min="10" max="10" width="2.125" style="257" customWidth="1"/>
    <col min="11" max="12" width="12.625" style="257" customWidth="1"/>
    <col min="13" max="13" width="12.625" style="257"/>
    <col min="14" max="14" width="15.625" style="257" bestFit="1" customWidth="1"/>
    <col min="15" max="19" width="12.875" style="257" bestFit="1" customWidth="1"/>
    <col min="20" max="26" width="12.625" style="257"/>
    <col min="27" max="16384" width="12.625" style="1246"/>
  </cols>
  <sheetData>
    <row r="1" spans="1:22" ht="21.75" customHeight="1" thickBot="1">
      <c r="A1" s="1761" t="s">
        <v>2052</v>
      </c>
      <c r="B1" s="1762"/>
      <c r="C1" s="1790" t="s">
        <v>2053</v>
      </c>
      <c r="D1" s="1791" t="s">
        <v>3012</v>
      </c>
      <c r="E1" s="1790" t="s">
        <v>2054</v>
      </c>
      <c r="F1" s="1792" t="s">
        <v>3013</v>
      </c>
      <c r="G1" s="311"/>
      <c r="H1" s="311"/>
      <c r="I1" s="311"/>
      <c r="J1" s="2014"/>
      <c r="K1" s="2014"/>
      <c r="L1" s="2014"/>
      <c r="M1" s="2014"/>
      <c r="N1" s="2014"/>
      <c r="O1" s="2014"/>
      <c r="P1" s="2014"/>
      <c r="Q1" s="2014"/>
      <c r="R1" s="2014"/>
      <c r="S1" s="2014"/>
      <c r="T1" s="2014"/>
      <c r="U1" s="2014"/>
      <c r="V1" s="2014"/>
    </row>
    <row r="2" spans="1:22" ht="21.75" customHeight="1" thickBot="1">
      <c r="A2" s="3315" t="str">
        <f>项目基本情况!K2</f>
        <v>成都市金堂县三星镇天灯村出让国有建设用地使用权</v>
      </c>
      <c r="B2" s="3316"/>
      <c r="C2" s="3317"/>
      <c r="D2" s="3317"/>
      <c r="E2" s="3317"/>
      <c r="F2" s="3317"/>
      <c r="G2" s="3316"/>
      <c r="H2" s="3316"/>
      <c r="I2" s="3318"/>
      <c r="J2" s="2015"/>
      <c r="K2" s="2014"/>
      <c r="L2" s="2014"/>
      <c r="M2" s="2014"/>
      <c r="N2" s="2014"/>
      <c r="O2" s="2014"/>
      <c r="P2" s="2014"/>
      <c r="Q2" s="2014"/>
      <c r="R2" s="2014"/>
      <c r="S2" s="2014"/>
      <c r="T2" s="2014"/>
      <c r="U2" s="2014"/>
      <c r="V2" s="2014"/>
    </row>
    <row r="3" spans="1:22" ht="14.25">
      <c r="A3" s="3308" t="s">
        <v>298</v>
      </c>
      <c r="B3" s="3309"/>
      <c r="C3" s="3309"/>
      <c r="D3" s="3309"/>
      <c r="E3" s="3309"/>
      <c r="F3" s="3309"/>
      <c r="G3" s="3309"/>
      <c r="H3" s="3309"/>
      <c r="I3" s="3309"/>
      <c r="J3" s="2015"/>
      <c r="K3" s="2014"/>
      <c r="L3" s="2014"/>
      <c r="M3" s="2014"/>
      <c r="N3" s="2014"/>
      <c r="O3" s="2014"/>
      <c r="P3" s="2014"/>
      <c r="Q3" s="2014"/>
      <c r="R3" s="2014"/>
      <c r="S3" s="2014"/>
      <c r="T3" s="2014"/>
      <c r="U3" s="2014"/>
      <c r="V3" s="2014"/>
    </row>
    <row r="4" spans="1:22" ht="14.25">
      <c r="A4" s="258" t="s">
        <v>299</v>
      </c>
      <c r="B4" s="259" t="s">
        <v>300</v>
      </c>
      <c r="C4" s="260" t="s">
        <v>3014</v>
      </c>
      <c r="D4" s="260" t="s">
        <v>3015</v>
      </c>
      <c r="E4" s="3280" t="s">
        <v>301</v>
      </c>
      <c r="F4" s="3281"/>
      <c r="G4" s="3281"/>
      <c r="H4" s="3281"/>
      <c r="I4" s="3310"/>
      <c r="J4" s="2015"/>
      <c r="K4" s="2014"/>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4"/>
      <c r="O4" s="2014"/>
      <c r="P4" s="2014"/>
      <c r="Q4" s="2014"/>
      <c r="R4" s="2014"/>
      <c r="S4" s="2014"/>
      <c r="T4" s="2014"/>
      <c r="U4" s="2014"/>
      <c r="V4" s="2014"/>
    </row>
    <row r="5" spans="1:22" ht="14.25">
      <c r="A5" s="3279" t="s">
        <v>302</v>
      </c>
      <c r="B5" s="3305">
        <v>25</v>
      </c>
      <c r="C5" s="3303"/>
      <c r="D5" s="3307"/>
      <c r="E5" s="261" t="s">
        <v>303</v>
      </c>
      <c r="F5" s="262"/>
      <c r="G5" s="262"/>
      <c r="H5" s="262"/>
      <c r="I5" s="263"/>
      <c r="J5" s="2015"/>
      <c r="K5" s="2014"/>
      <c r="L5" s="2014"/>
      <c r="M5" s="2014"/>
      <c r="N5" s="2014"/>
      <c r="O5" s="2014"/>
      <c r="P5" s="2014"/>
      <c r="Q5" s="2014"/>
      <c r="R5" s="2014"/>
      <c r="S5" s="2014"/>
      <c r="T5" s="2014"/>
      <c r="U5" s="2014"/>
      <c r="V5" s="2014"/>
    </row>
    <row r="6" spans="1:22" ht="14.25">
      <c r="A6" s="3279"/>
      <c r="B6" s="3305"/>
      <c r="C6" s="3306"/>
      <c r="D6" s="3307"/>
      <c r="E6" s="261" t="s">
        <v>304</v>
      </c>
      <c r="F6" s="262"/>
      <c r="G6" s="262"/>
      <c r="H6" s="262"/>
      <c r="I6" s="263"/>
      <c r="J6" s="2015"/>
      <c r="K6" s="2014"/>
      <c r="L6" s="2014"/>
      <c r="M6" s="2014"/>
      <c r="N6" s="2014"/>
      <c r="O6" s="2014"/>
      <c r="P6" s="2014"/>
      <c r="Q6" s="2014"/>
      <c r="R6" s="2014"/>
      <c r="S6" s="2014"/>
      <c r="T6" s="2014"/>
      <c r="U6" s="2014"/>
      <c r="V6" s="2014"/>
    </row>
    <row r="7" spans="1:22" ht="14.25">
      <c r="A7" s="3279"/>
      <c r="B7" s="3305"/>
      <c r="C7" s="3304"/>
      <c r="D7" s="3307"/>
      <c r="E7" s="261" t="s">
        <v>305</v>
      </c>
      <c r="F7" s="262"/>
      <c r="G7" s="262"/>
      <c r="H7" s="262"/>
      <c r="I7" s="263"/>
      <c r="J7" s="2015"/>
      <c r="K7" s="2014"/>
      <c r="L7" s="2014"/>
      <c r="M7" s="2014"/>
      <c r="N7" s="2014"/>
      <c r="O7" s="2014"/>
      <c r="P7" s="2014"/>
      <c r="Q7" s="2014"/>
      <c r="R7" s="2014"/>
      <c r="S7" s="2014"/>
      <c r="T7" s="2014"/>
      <c r="U7" s="2014"/>
      <c r="V7" s="2014"/>
    </row>
    <row r="8" spans="1:22" ht="14.25">
      <c r="A8" s="3279" t="s">
        <v>306</v>
      </c>
      <c r="B8" s="3305">
        <v>15</v>
      </c>
      <c r="C8" s="3303"/>
      <c r="D8" s="3307"/>
      <c r="E8" s="261" t="s">
        <v>307</v>
      </c>
      <c r="F8" s="262"/>
      <c r="G8" s="262"/>
      <c r="H8" s="262"/>
      <c r="I8" s="263"/>
      <c r="J8" s="2015"/>
      <c r="K8" s="2014"/>
      <c r="L8" s="2014"/>
      <c r="M8" s="2014"/>
      <c r="N8" s="2014"/>
      <c r="O8" s="2014"/>
      <c r="P8" s="2014"/>
      <c r="Q8" s="2014"/>
      <c r="R8" s="2014"/>
      <c r="S8" s="2014"/>
      <c r="T8" s="2014"/>
      <c r="U8" s="2014"/>
      <c r="V8" s="2014"/>
    </row>
    <row r="9" spans="1:22" ht="14.25">
      <c r="A9" s="3279"/>
      <c r="B9" s="3305"/>
      <c r="C9" s="3304"/>
      <c r="D9" s="3307"/>
      <c r="E9" s="261" t="s">
        <v>308</v>
      </c>
      <c r="F9" s="262"/>
      <c r="G9" s="262"/>
      <c r="H9" s="262"/>
      <c r="I9" s="263"/>
      <c r="J9" s="2015"/>
      <c r="K9" s="2014"/>
      <c r="L9" s="2014"/>
      <c r="M9" s="2014"/>
      <c r="N9" s="2014"/>
      <c r="O9" s="2014"/>
      <c r="P9" s="2014"/>
      <c r="Q9" s="2014"/>
      <c r="R9" s="2014"/>
      <c r="S9" s="2014"/>
      <c r="T9" s="2014"/>
      <c r="U9" s="2014"/>
      <c r="V9" s="2014"/>
    </row>
    <row r="10" spans="1:22" ht="14.25">
      <c r="A10" s="3279" t="s">
        <v>309</v>
      </c>
      <c r="B10" s="3305">
        <v>15</v>
      </c>
      <c r="C10" s="3303"/>
      <c r="D10" s="3307"/>
      <c r="E10" s="261" t="s">
        <v>310</v>
      </c>
      <c r="F10" s="262"/>
      <c r="G10" s="262"/>
      <c r="H10" s="262"/>
      <c r="I10" s="263"/>
      <c r="J10" s="2015"/>
      <c r="K10" s="2014"/>
      <c r="L10" s="2014"/>
      <c r="M10" s="2014"/>
      <c r="N10" s="2014"/>
      <c r="O10" s="2014"/>
      <c r="P10" s="2014"/>
      <c r="Q10" s="2014"/>
      <c r="R10" s="2014"/>
      <c r="S10" s="2014"/>
      <c r="T10" s="2014"/>
      <c r="U10" s="2014"/>
      <c r="V10" s="2014"/>
    </row>
    <row r="11" spans="1:22" ht="14.25">
      <c r="A11" s="3279"/>
      <c r="B11" s="3305"/>
      <c r="C11" s="3304"/>
      <c r="D11" s="3307"/>
      <c r="E11" s="261" t="s">
        <v>311</v>
      </c>
      <c r="F11" s="262"/>
      <c r="G11" s="262"/>
      <c r="H11" s="262"/>
      <c r="I11" s="263"/>
      <c r="J11" s="2015"/>
      <c r="K11" s="2014"/>
      <c r="L11" s="2014"/>
      <c r="M11" s="2014"/>
      <c r="N11" s="2014"/>
      <c r="O11" s="2014"/>
      <c r="P11" s="2014"/>
      <c r="Q11" s="2014"/>
      <c r="R11" s="2014"/>
      <c r="S11" s="2014"/>
      <c r="T11" s="2014"/>
      <c r="U11" s="2014"/>
      <c r="V11" s="2014"/>
    </row>
    <row r="12" spans="1:22" ht="14.25">
      <c r="A12" s="3279" t="s">
        <v>312</v>
      </c>
      <c r="B12" s="3305">
        <v>15</v>
      </c>
      <c r="C12" s="3303"/>
      <c r="D12" s="3307"/>
      <c r="E12" s="261" t="s">
        <v>313</v>
      </c>
      <c r="F12" s="262"/>
      <c r="G12" s="262"/>
      <c r="H12" s="262"/>
      <c r="I12" s="263"/>
      <c r="J12" s="2015"/>
      <c r="K12" s="2014"/>
      <c r="L12" s="2014"/>
      <c r="M12" s="2014"/>
      <c r="N12" s="2014"/>
      <c r="O12" s="2014"/>
      <c r="P12" s="2014"/>
      <c r="Q12" s="2014"/>
      <c r="R12" s="2014"/>
      <c r="S12" s="2014"/>
      <c r="T12" s="2014"/>
      <c r="U12" s="2014"/>
      <c r="V12" s="2014"/>
    </row>
    <row r="13" spans="1:22" ht="14.25">
      <c r="A13" s="3279"/>
      <c r="B13" s="3305"/>
      <c r="C13" s="3304"/>
      <c r="D13" s="3307"/>
      <c r="E13" s="261" t="s">
        <v>314</v>
      </c>
      <c r="F13" s="262"/>
      <c r="G13" s="262"/>
      <c r="H13" s="262"/>
      <c r="I13" s="263"/>
      <c r="J13" s="2015"/>
      <c r="K13" s="2014"/>
      <c r="L13" s="2014"/>
      <c r="M13" s="2014"/>
      <c r="N13" s="2014"/>
      <c r="O13" s="2014"/>
      <c r="P13" s="2014"/>
      <c r="Q13" s="2014"/>
      <c r="R13" s="2014"/>
      <c r="S13" s="2014"/>
      <c r="T13" s="2014"/>
      <c r="U13" s="2014"/>
      <c r="V13" s="2014"/>
    </row>
    <row r="14" spans="1:22" ht="14.25">
      <c r="A14" s="3279" t="s">
        <v>315</v>
      </c>
      <c r="B14" s="3305">
        <v>30</v>
      </c>
      <c r="C14" s="3303">
        <v>5</v>
      </c>
      <c r="D14" s="3307">
        <v>5</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279"/>
      <c r="B15" s="3305"/>
      <c r="C15" s="3306"/>
      <c r="D15" s="3307"/>
      <c r="E15" s="261" t="s">
        <v>317</v>
      </c>
      <c r="F15" s="262"/>
      <c r="G15" s="262"/>
      <c r="H15" s="262"/>
      <c r="I15" s="263"/>
      <c r="J15" s="2015"/>
      <c r="K15" s="2014"/>
      <c r="L15" s="2014"/>
      <c r="M15" s="2014"/>
      <c r="N15" s="2014"/>
      <c r="O15" s="2014"/>
      <c r="P15" s="2014"/>
      <c r="Q15" s="2014"/>
      <c r="R15" s="2014"/>
      <c r="S15" s="2014"/>
      <c r="T15" s="2014"/>
      <c r="U15" s="2014"/>
      <c r="V15" s="2014"/>
    </row>
    <row r="16" spans="1:22" ht="14.25">
      <c r="A16" s="3279"/>
      <c r="B16" s="3305"/>
      <c r="C16" s="3304"/>
      <c r="D16" s="3307"/>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5</v>
      </c>
      <c r="D17" s="265">
        <f>SUM(D5:D16)</f>
        <v>5</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0.5</v>
      </c>
      <c r="D18" s="267">
        <f>1-C18</f>
        <v>0.5</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67761</v>
      </c>
      <c r="D19" s="271">
        <f ca="1">SUMIF(INDIRECT("'"&amp;D4&amp;"'"&amp;"!A:A"),结果表!B19,INDIRECT("'"&amp;D4&amp;"'"&amp;"!B:B"))</f>
        <v>58365</v>
      </c>
      <c r="E19" s="268" t="s">
        <v>323</v>
      </c>
      <c r="F19" s="269" t="s">
        <v>322</v>
      </c>
      <c r="G19" s="272">
        <f ca="1">ROUND(C19*$C$18+D19*$D$18,0)</f>
        <v>63063</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2185</v>
      </c>
      <c r="D20" s="277">
        <f ca="1">SUMIF(INDIRECT("'"&amp;D4&amp;"'"&amp;"!A:A"),结果表!B20,INDIRECT("'"&amp;D4&amp;"'"&amp;"!B:B"))</f>
        <v>1882</v>
      </c>
      <c r="E20" s="274"/>
      <c r="F20" s="275" t="s">
        <v>325</v>
      </c>
      <c r="G20" s="278">
        <f ca="1">ROUND(C20*$C$18+D20*$D$18,0)</f>
        <v>2034</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6555</v>
      </c>
      <c r="D21" s="151">
        <f ca="1">SUMIF(INDIRECT("'"&amp;D4&amp;"'"&amp;"!A:A"),结果表!B21,INDIRECT("'"&amp;D4&amp;"'"&amp;"!B:B"))</f>
        <v>5646</v>
      </c>
      <c r="E21" s="274"/>
      <c r="F21" s="280" t="s">
        <v>327</v>
      </c>
      <c r="G21" s="282">
        <f ca="1">ROUND(C21*$C$18+D21*$D$18,0)</f>
        <v>6101</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0.16098689282960676</v>
      </c>
      <c r="E22" s="284"/>
      <c r="F22" s="285"/>
      <c r="G22" s="286">
        <f ca="1">ROUND(G19/('数据-汇总表'!D3/666.67),0)</f>
        <v>407</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285"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286"/>
      <c r="B25" s="1317" t="s">
        <v>331</v>
      </c>
      <c r="C25" s="290">
        <f>IF(B30=0,0,C30)</f>
        <v>0</v>
      </c>
      <c r="D25" s="291"/>
      <c r="E25" s="311"/>
      <c r="F25" s="311"/>
      <c r="G25" s="311"/>
      <c r="H25" s="311"/>
      <c r="I25" s="311"/>
      <c r="J25" s="2014"/>
      <c r="K25" s="1251" t="str">
        <f ca="1">项目基本情况!B16&amp;"国有建设用地使用权价格："&amp;O38&amp;"万元"</f>
        <v>出让国有建设用地使用权价格：63063万元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大写金额：人民币陆亿叁仟零陆拾叁万元整</v>
      </c>
      <c r="L26" s="1248"/>
      <c r="M26" s="1248"/>
      <c r="N26" s="1248"/>
      <c r="O26" s="1247"/>
      <c r="P26" s="2014"/>
      <c r="Q26" s="2014"/>
      <c r="R26" s="2014"/>
      <c r="S26" s="2014"/>
      <c r="T26" s="2014"/>
      <c r="U26" s="2014"/>
      <c r="V26" s="2014"/>
      <c r="W26" s="292"/>
      <c r="X26" s="292"/>
      <c r="Y26" s="292"/>
      <c r="Z26" s="292"/>
    </row>
    <row r="27" spans="1:26" ht="18">
      <c r="A27" s="3490" t="s">
        <v>3127</v>
      </c>
      <c r="B27" s="294"/>
      <c r="C27" s="294"/>
      <c r="D27" s="295"/>
      <c r="E27" s="311"/>
      <c r="F27" s="311"/>
      <c r="G27" s="311"/>
      <c r="H27" s="311"/>
      <c r="I27" s="311"/>
      <c r="J27" s="2014"/>
      <c r="K27" s="1254" t="str">
        <f ca="1">"单位面积地价："&amp;M38&amp;"元/平方米"</f>
        <v>单位面积地价：6101元/平方米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楼面地价：2034元/平方米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抵押价格：63063万元</v>
      </c>
      <c r="L29" s="1248"/>
      <c r="M29" s="1248"/>
      <c r="N29" s="1248"/>
      <c r="O29" s="1247"/>
      <c r="P29" s="2014"/>
      <c r="V29" s="2014"/>
    </row>
    <row r="30" spans="1:26" ht="18.75" thickBot="1">
      <c r="A30" s="3082" t="s">
        <v>336</v>
      </c>
      <c r="B30" s="309"/>
      <c r="C30" s="309"/>
      <c r="D30" s="310"/>
      <c r="E30" s="3083" t="s">
        <v>2963</v>
      </c>
      <c r="F30" s="311"/>
      <c r="G30" s="311"/>
      <c r="H30" s="311"/>
      <c r="I30" s="311"/>
      <c r="J30" s="2014"/>
      <c r="K30" s="1254" t="str">
        <f ca="1">IF(K29="——","——","大写金额：人民币"&amp;NUMBERSTRING(INT(O39*10000),2)&amp;"元整")</f>
        <v>大写金额：人民币陆亿叁仟零陆拾叁万元整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63063</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2034</v>
      </c>
      <c r="D33" s="1382" t="s">
        <v>1691</v>
      </c>
      <c r="E33" s="3285" t="s">
        <v>338</v>
      </c>
      <c r="F33" s="296" t="s">
        <v>339</v>
      </c>
      <c r="G33" s="297"/>
      <c r="H33" s="980"/>
      <c r="I33" s="1255"/>
      <c r="J33" s="2014"/>
      <c r="K33" s="1254" t="str">
        <f>IF(项目基本情况!E9="——","——","抵押净值："&amp;C46&amp;"万元")</f>
        <v>——</v>
      </c>
      <c r="L33" s="1248"/>
      <c r="M33" s="1248"/>
      <c r="N33" s="1248"/>
      <c r="O33" s="1247"/>
      <c r="P33" s="2014"/>
      <c r="V33" s="2014"/>
    </row>
    <row r="34" spans="1:26" s="1250" customFormat="1" ht="18.75" thickBot="1">
      <c r="A34" s="300"/>
      <c r="B34" s="1383" t="s">
        <v>1692</v>
      </c>
      <c r="C34" s="264">
        <f ca="1">ROUND(C32*10000/'数据-汇总表'!D3,0)</f>
        <v>6101</v>
      </c>
      <c r="D34" s="1384" t="s">
        <v>1691</v>
      </c>
      <c r="E34" s="3326"/>
      <c r="F34" s="127" t="s">
        <v>341</v>
      </c>
      <c r="G34" s="299"/>
      <c r="H34" s="105"/>
      <c r="I34" s="311"/>
      <c r="J34" s="2014"/>
      <c r="K34" s="1257" t="str">
        <f>IF(K33="——","——","大写金额：人民币"&amp;NUMBERSTRING(INT(O41*10000),2)&amp;"元整")</f>
        <v>——</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407</v>
      </c>
      <c r="D35" s="1387" t="s">
        <v>1693</v>
      </c>
      <c r="E35" s="3327"/>
      <c r="F35" s="301" t="s">
        <v>342</v>
      </c>
      <c r="G35" s="982"/>
      <c r="H35" s="981" t="s">
        <v>343</v>
      </c>
      <c r="I35" s="311"/>
      <c r="J35" s="2014"/>
      <c r="K35" s="3300" t="s">
        <v>350</v>
      </c>
      <c r="L35" s="3300" t="s">
        <v>351</v>
      </c>
      <c r="M35" s="1260" t="s">
        <v>352</v>
      </c>
      <c r="N35" s="3300" t="s">
        <v>353</v>
      </c>
      <c r="O35" s="3300" t="s">
        <v>354</v>
      </c>
      <c r="P35" s="2014"/>
      <c r="V35" s="2014"/>
    </row>
    <row r="36" spans="1:26" ht="16.5" customHeight="1">
      <c r="A36" s="303" t="s">
        <v>344</v>
      </c>
      <c r="B36" s="304" t="s">
        <v>333</v>
      </c>
      <c r="C36" s="305" t="s">
        <v>345</v>
      </c>
      <c r="D36" s="305" t="s">
        <v>346</v>
      </c>
      <c r="E36" s="306" t="s">
        <v>347</v>
      </c>
      <c r="F36" s="311"/>
      <c r="G36" s="311"/>
      <c r="H36" s="311"/>
      <c r="I36" s="311"/>
      <c r="J36" s="2016"/>
      <c r="K36" s="3301"/>
      <c r="L36" s="3301"/>
      <c r="M36" s="1262" t="s">
        <v>355</v>
      </c>
      <c r="N36" s="3301"/>
      <c r="O36" s="3301"/>
      <c r="P36" s="2014"/>
      <c r="V36" s="2014"/>
    </row>
    <row r="37" spans="1:26" ht="16.5" customHeight="1" thickBot="1">
      <c r="A37" s="1256" t="s">
        <v>348</v>
      </c>
      <c r="B37" s="307"/>
      <c r="C37" s="294"/>
      <c r="D37" s="294"/>
      <c r="E37" s="295"/>
      <c r="F37" s="311"/>
      <c r="G37" s="311"/>
      <c r="H37" s="311"/>
      <c r="I37" s="311"/>
      <c r="J37" s="2016"/>
      <c r="K37" s="3302"/>
      <c r="L37" s="3302"/>
      <c r="M37" s="1263"/>
      <c r="N37" s="3302"/>
      <c r="O37" s="3302"/>
      <c r="P37" s="2014"/>
      <c r="V37" s="2014"/>
    </row>
    <row r="38" spans="1:26" ht="16.5" customHeight="1" thickBot="1">
      <c r="A38" s="1256" t="s">
        <v>349</v>
      </c>
      <c r="B38" s="307"/>
      <c r="C38" s="294"/>
      <c r="D38" s="294"/>
      <c r="E38" s="295"/>
      <c r="F38" s="311"/>
      <c r="G38" s="311"/>
      <c r="H38" s="311"/>
      <c r="I38" s="311"/>
      <c r="J38" s="2016"/>
      <c r="K38" s="1264">
        <f>'数据-汇总表'!D3</f>
        <v>103373.22</v>
      </c>
      <c r="L38" s="1265">
        <f>'数据-汇总表'!E3</f>
        <v>310119.66000000003</v>
      </c>
      <c r="M38" s="1265">
        <f ca="1">C34</f>
        <v>6101</v>
      </c>
      <c r="N38" s="1265">
        <f ca="1">C33</f>
        <v>2034</v>
      </c>
      <c r="O38" s="1266">
        <f ca="1">C32</f>
        <v>63063</v>
      </c>
      <c r="P38" s="2014"/>
      <c r="V38" s="2014"/>
    </row>
    <row r="39" spans="1:26" ht="16.5" customHeight="1" thickBot="1">
      <c r="A39" s="1261"/>
      <c r="B39" s="308"/>
      <c r="C39" s="309"/>
      <c r="D39" s="309"/>
      <c r="E39" s="310"/>
      <c r="F39" s="311"/>
      <c r="G39" s="311"/>
      <c r="H39" s="311"/>
      <c r="I39" s="311"/>
      <c r="J39" s="2016"/>
      <c r="K39" s="3345" t="str">
        <f>MID(A44,3,LEN(A44)-2)</f>
        <v>抵押价格</v>
      </c>
      <c r="L39" s="3346"/>
      <c r="M39" s="3346"/>
      <c r="N39" s="3347"/>
      <c r="O39" s="1389">
        <f ca="1">C44</f>
        <v>63063</v>
      </c>
      <c r="P39" s="2014"/>
      <c r="V39" s="2014"/>
    </row>
    <row r="40" spans="1:26" ht="19.5" thickBot="1">
      <c r="A40" s="104" t="s">
        <v>873</v>
      </c>
      <c r="B40" s="311"/>
      <c r="C40" s="311"/>
      <c r="D40" s="311"/>
      <c r="E40" s="311"/>
      <c r="F40" s="311"/>
      <c r="G40" s="311"/>
      <c r="H40" s="311"/>
      <c r="I40" s="311"/>
      <c r="J40" s="2016"/>
      <c r="K40" s="3345" t="str">
        <f t="shared" ref="K40:K41" si="0">MID(A45,3,LEN(A45)-2)</f>
        <v/>
      </c>
      <c r="L40" s="3346"/>
      <c r="M40" s="3346"/>
      <c r="N40" s="3347"/>
      <c r="O40" s="1389" t="str">
        <f>C45</f>
        <v>——</v>
      </c>
      <c r="P40" s="2014"/>
      <c r="V40" s="2014"/>
    </row>
    <row r="41" spans="1:26" ht="16.5" thickBot="1">
      <c r="A41" s="312" t="s">
        <v>356</v>
      </c>
      <c r="B41" s="313"/>
      <c r="C41" s="314" t="s">
        <v>357</v>
      </c>
      <c r="D41" s="315" t="s">
        <v>358</v>
      </c>
      <c r="E41" s="315" t="s">
        <v>359</v>
      </c>
      <c r="F41" s="316" t="s">
        <v>360</v>
      </c>
      <c r="G41" s="311"/>
      <c r="H41" s="311"/>
      <c r="I41" s="311"/>
      <c r="J41" s="2016"/>
      <c r="K41" s="3345" t="str">
        <f t="shared" si="0"/>
        <v/>
      </c>
      <c r="L41" s="3346"/>
      <c r="M41" s="3346"/>
      <c r="N41" s="3347"/>
      <c r="O41" s="1389" t="str">
        <f>C46</f>
        <v>——</v>
      </c>
      <c r="P41" s="2014"/>
      <c r="V41" s="2014"/>
    </row>
    <row r="42" spans="1:26" ht="29.25">
      <c r="A42" s="3287" t="s">
        <v>2064</v>
      </c>
      <c r="B42" s="3288"/>
      <c r="C42" s="264">
        <f ca="1">C32</f>
        <v>63063</v>
      </c>
      <c r="D42" s="317">
        <f ca="1">C33</f>
        <v>2034</v>
      </c>
      <c r="E42" s="317">
        <f ca="1">C34</f>
        <v>6101</v>
      </c>
      <c r="F42" s="318">
        <f ca="1">C35</f>
        <v>407</v>
      </c>
      <c r="G42" s="311"/>
      <c r="H42" s="311"/>
      <c r="I42" s="319"/>
      <c r="J42" s="2016"/>
      <c r="K42" s="1267" t="s">
        <v>361</v>
      </c>
      <c r="L42" s="2033" t="s">
        <v>362</v>
      </c>
      <c r="M42" s="1268" t="s">
        <v>363</v>
      </c>
      <c r="N42" s="2034" t="s">
        <v>364</v>
      </c>
      <c r="O42" s="2035" t="s">
        <v>365</v>
      </c>
      <c r="P42" s="2014"/>
      <c r="V42" s="2014"/>
    </row>
    <row r="43" spans="1:26" ht="30">
      <c r="A43" s="3298" t="s">
        <v>2725</v>
      </c>
      <c r="B43" s="3299"/>
      <c r="C43" s="264">
        <f>IF(H33="正常操作",G33+G34+G35,G34+G35)</f>
        <v>0</v>
      </c>
      <c r="D43" s="317" t="s">
        <v>43</v>
      </c>
      <c r="E43" s="317" t="s">
        <v>44</v>
      </c>
      <c r="F43" s="318" t="s">
        <v>44</v>
      </c>
      <c r="G43" s="2822" t="s">
        <v>952</v>
      </c>
      <c r="H43" s="311"/>
      <c r="I43" s="319"/>
      <c r="J43" s="2016"/>
      <c r="K43" s="1269" t="str">
        <f>C4</f>
        <v>比较法-住宅、综合</v>
      </c>
      <c r="L43" s="1270">
        <f ca="1">IF(L42="估价结果/万元",C19,C20)</f>
        <v>67761</v>
      </c>
      <c r="M43" s="1271">
        <f>C18</f>
        <v>0.5</v>
      </c>
      <c r="N43" s="1272">
        <f ca="1">IF(N42="测算结果/万元",G19,G20)</f>
        <v>63063</v>
      </c>
      <c r="O43" s="1273">
        <f ca="1">IF(O42="最终结果/万元",C32,C33)</f>
        <v>63063</v>
      </c>
      <c r="P43" s="2014"/>
      <c r="V43" s="2014"/>
    </row>
    <row r="44" spans="1:26" ht="30.75" thickBot="1">
      <c r="A44" s="3287" t="str">
        <f>IF(OR(项目基本情况!E8="抵押价格",项目基本情况!E8="已注销及未注销"),"3.抵押价格","——")</f>
        <v>3.抵押价格</v>
      </c>
      <c r="B44" s="3288"/>
      <c r="C44" s="264">
        <f ca="1">IF(A44="——","——",C42-C43)</f>
        <v>63063</v>
      </c>
      <c r="D44" s="317">
        <f ca="1">ROUND(C44*10000/'数据-汇总表'!E3,0)</f>
        <v>2034</v>
      </c>
      <c r="E44" s="317">
        <f ca="1">ROUND(C44*10000/'数据-汇总表'!D3,0)</f>
        <v>6101</v>
      </c>
      <c r="F44" s="318">
        <f ca="1">ROUND(C44/('数据-汇总表'!D3/666.67),0)</f>
        <v>407</v>
      </c>
      <c r="G44" s="311"/>
      <c r="H44" s="311"/>
      <c r="I44" s="319"/>
      <c r="J44" s="2016"/>
      <c r="K44" s="1274" t="str">
        <f>D4</f>
        <v>剩余法-待开发</v>
      </c>
      <c r="L44" s="1275">
        <f ca="1">IF(L42="估价结果/万元",D19,D20)</f>
        <v>58365</v>
      </c>
      <c r="M44" s="1276">
        <f>D18</f>
        <v>0.5</v>
      </c>
      <c r="N44" s="1277"/>
      <c r="O44" s="1278"/>
      <c r="P44" s="2014"/>
      <c r="V44" s="2014"/>
    </row>
    <row r="45" spans="1:26" ht="15">
      <c r="A45" s="3293" t="str">
        <f>IF(项目基本情况!E8="已注销及未注销","4.抵押担保权已注销时的抵押价格",IF(项目基本情况!E8="已注销","3.抵押担保权已注销时的抵押价格","——"))</f>
        <v>——</v>
      </c>
      <c r="B45" s="3294"/>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289" t="str">
        <f>IF(项目基本情况!E9="抵押净值",IF(A45="——","4.抵押净值","5.抵押净值"),"——")</f>
        <v>——</v>
      </c>
      <c r="B46" s="3290"/>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34" t="s">
        <v>374</v>
      </c>
      <c r="B63" s="3335"/>
      <c r="C63" s="3336"/>
      <c r="D63" s="341">
        <f ca="1">ROUND(C42*F63,0)</f>
        <v>63063</v>
      </c>
      <c r="E63" s="302" t="s">
        <v>375</v>
      </c>
      <c r="F63" s="342">
        <v>1</v>
      </c>
      <c r="G63" s="343" t="s">
        <v>376</v>
      </c>
      <c r="H63" s="311"/>
      <c r="I63" s="311"/>
      <c r="J63" s="2014"/>
      <c r="K63" s="2014"/>
      <c r="L63" s="2014"/>
      <c r="M63" s="2014"/>
      <c r="N63" s="2014"/>
      <c r="O63" s="2014"/>
      <c r="P63" s="311"/>
      <c r="Q63" s="2014"/>
      <c r="R63" s="2014"/>
      <c r="S63" s="2014"/>
      <c r="T63" s="2014"/>
      <c r="U63" s="2014"/>
      <c r="V63" s="2014"/>
    </row>
    <row r="64" spans="1:22" ht="14.25" customHeight="1">
      <c r="A64" s="3295" t="s">
        <v>378</v>
      </c>
      <c r="B64" s="3296"/>
      <c r="C64" s="3296"/>
      <c r="D64" s="3296"/>
      <c r="E64" s="3296"/>
      <c r="F64" s="3296"/>
      <c r="G64" s="3297"/>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291" t="s">
        <v>386</v>
      </c>
      <c r="B66" s="3292"/>
      <c r="C66" s="3292"/>
      <c r="D66" s="261">
        <f ca="1">IF(H66="情况1",0,IF(H66="情况2",D70,IF(H66="情况3",D71,IF(H66="情况4",D72))))</f>
        <v>3303</v>
      </c>
      <c r="E66" s="993" t="str">
        <f>IF(H66="情况4","(销售额-原购置价)×税（费）率","销售额×税（费）率")</f>
        <v>销售额×税（费）率</v>
      </c>
      <c r="F66" s="350">
        <f>IF(H66="情况1","免征",'数据-取费表'!B41)</f>
        <v>5.5000000000000007E-2</v>
      </c>
      <c r="G66" s="351" t="s">
        <v>387</v>
      </c>
      <c r="H66" s="191" t="s">
        <v>388</v>
      </c>
      <c r="I66" s="1284"/>
      <c r="J66" s="2020"/>
      <c r="K66" s="1287">
        <v>1</v>
      </c>
      <c r="L66" s="3349" t="s">
        <v>385</v>
      </c>
      <c r="M66" s="3350"/>
      <c r="N66" s="2423"/>
      <c r="O66" s="2424"/>
      <c r="P66" s="2425"/>
      <c r="Q66" s="2014"/>
      <c r="R66" s="2014"/>
      <c r="S66" s="2014"/>
      <c r="T66" s="2014"/>
      <c r="U66" s="2014"/>
      <c r="V66" s="2014"/>
    </row>
    <row r="67" spans="1:22" ht="25.5" customHeight="1">
      <c r="A67" s="352" t="s">
        <v>390</v>
      </c>
      <c r="B67" s="3282" t="s">
        <v>391</v>
      </c>
      <c r="C67" s="3282"/>
      <c r="D67" s="353">
        <v>0</v>
      </c>
      <c r="E67" s="41" t="s">
        <v>392</v>
      </c>
      <c r="F67" s="62" t="s">
        <v>21</v>
      </c>
      <c r="G67" s="3337"/>
      <c r="H67" s="311"/>
      <c r="I67" s="1288"/>
      <c r="J67" s="2021"/>
      <c r="K67" s="1962">
        <v>2</v>
      </c>
      <c r="L67" s="3348" t="s">
        <v>389</v>
      </c>
      <c r="M67" s="3348"/>
      <c r="N67" s="1321">
        <f>'数据-取费表'!B2</f>
        <v>43927</v>
      </c>
      <c r="O67" s="1321"/>
      <c r="P67" s="1321"/>
      <c r="Q67" s="2014"/>
      <c r="R67" s="2014"/>
      <c r="S67" s="2014"/>
      <c r="T67" s="2014"/>
      <c r="U67" s="2014"/>
      <c r="V67" s="2014"/>
    </row>
    <row r="68" spans="1:22" ht="25.5" customHeight="1">
      <c r="A68" s="354"/>
      <c r="B68" s="3282" t="s">
        <v>394</v>
      </c>
      <c r="C68" s="3282"/>
      <c r="D68" s="355"/>
      <c r="E68" s="77"/>
      <c r="F68" s="356"/>
      <c r="G68" s="3338"/>
      <c r="H68" s="311"/>
      <c r="I68" s="1288"/>
      <c r="J68" s="2021"/>
      <c r="K68" s="1962">
        <v>3</v>
      </c>
      <c r="L68" s="3348" t="s">
        <v>393</v>
      </c>
      <c r="M68" s="3348"/>
      <c r="N68" s="1289">
        <f ca="1">C42</f>
        <v>63063</v>
      </c>
      <c r="O68" s="1289"/>
      <c r="P68" s="1289"/>
      <c r="Q68" s="2014"/>
      <c r="R68" s="2014"/>
      <c r="S68" s="2014"/>
      <c r="T68" s="2014"/>
      <c r="U68" s="2014"/>
      <c r="V68" s="2014"/>
    </row>
    <row r="69" spans="1:22" ht="12" customHeight="1">
      <c r="A69" s="357"/>
      <c r="B69" s="3282" t="s">
        <v>395</v>
      </c>
      <c r="C69" s="3282"/>
      <c r="D69" s="358"/>
      <c r="E69" s="73"/>
      <c r="F69" s="356"/>
      <c r="G69" s="3339"/>
      <c r="H69" s="311"/>
      <c r="I69" s="1288"/>
      <c r="J69" s="2021"/>
      <c r="K69" s="1290">
        <v>4</v>
      </c>
      <c r="L69" s="3353" t="s">
        <v>2878</v>
      </c>
      <c r="M69" s="3354"/>
      <c r="N69" s="1291">
        <f ca="1">C44</f>
        <v>63063</v>
      </c>
      <c r="O69" s="1291"/>
      <c r="P69" s="1291"/>
      <c r="Q69" s="2014"/>
      <c r="R69" s="2014"/>
      <c r="S69" s="2014"/>
      <c r="T69" s="2014"/>
      <c r="U69" s="2014"/>
      <c r="V69" s="2014"/>
    </row>
    <row r="70" spans="1:22" ht="24" customHeight="1">
      <c r="A70" s="359" t="s">
        <v>396</v>
      </c>
      <c r="B70" s="3282" t="s">
        <v>397</v>
      </c>
      <c r="C70" s="3282"/>
      <c r="D70" s="358">
        <f ca="1">ROUND(D63*'数据-取费表'!B41/(1+'数据-取费表'!C42),0)</f>
        <v>3303</v>
      </c>
      <c r="E70" s="17" t="s">
        <v>398</v>
      </c>
      <c r="F70" s="360">
        <f>'数据-取费表'!B41</f>
        <v>5.5000000000000007E-2</v>
      </c>
      <c r="G70" s="361"/>
      <c r="H70" s="311"/>
      <c r="I70" s="1288"/>
      <c r="J70" s="2021"/>
      <c r="K70" s="3014"/>
      <c r="L70" s="3015"/>
      <c r="M70" s="3015"/>
      <c r="N70" s="3016" t="s">
        <v>2882</v>
      </c>
      <c r="O70" s="3015"/>
      <c r="P70" s="3017"/>
      <c r="Q70" s="2014"/>
      <c r="R70" s="2014"/>
      <c r="S70" s="2014"/>
      <c r="T70" s="2014"/>
      <c r="U70" s="2014"/>
      <c r="V70" s="2014"/>
    </row>
    <row r="71" spans="1:22" ht="12" customHeight="1">
      <c r="A71" s="359" t="s">
        <v>404</v>
      </c>
      <c r="B71" s="3283" t="s">
        <v>405</v>
      </c>
      <c r="C71" s="3284"/>
      <c r="D71" s="358">
        <f ca="1">ROUND(D63*'数据-取费表'!B41/(1+'数据-取费表'!C42),0)</f>
        <v>3303</v>
      </c>
      <c r="E71" s="17" t="s">
        <v>398</v>
      </c>
      <c r="F71" s="360">
        <f>'数据-取费表'!B41</f>
        <v>5.5000000000000007E-2</v>
      </c>
      <c r="G71" s="361"/>
      <c r="H71" s="311"/>
      <c r="I71" s="1288"/>
      <c r="J71" s="2021"/>
      <c r="K71" s="3013" t="s">
        <v>399</v>
      </c>
      <c r="L71" s="3355" t="s">
        <v>400</v>
      </c>
      <c r="M71" s="3355"/>
      <c r="N71" s="3013" t="s">
        <v>401</v>
      </c>
      <c r="O71" s="3013" t="s">
        <v>402</v>
      </c>
      <c r="P71" s="3013" t="s">
        <v>403</v>
      </c>
      <c r="Q71" s="2014"/>
      <c r="R71" s="2014"/>
      <c r="S71" s="2014"/>
      <c r="T71" s="2014"/>
      <c r="U71" s="2014"/>
      <c r="V71" s="2014"/>
    </row>
    <row r="72" spans="1:22" ht="12" customHeight="1">
      <c r="A72" s="359" t="s">
        <v>407</v>
      </c>
      <c r="B72" s="3283" t="s">
        <v>408</v>
      </c>
      <c r="C72" s="3284"/>
      <c r="D72" s="358">
        <f ca="1">C86</f>
        <v>3193</v>
      </c>
      <c r="E72" s="73" t="s">
        <v>409</v>
      </c>
      <c r="F72" s="360">
        <f>'数据-取费表'!B41</f>
        <v>5.5000000000000007E-2</v>
      </c>
      <c r="G72" s="361"/>
      <c r="H72" s="1294"/>
      <c r="I72" s="1288"/>
      <c r="J72" s="2021"/>
      <c r="K72" s="1962">
        <v>1</v>
      </c>
      <c r="L72" s="3330" t="s">
        <v>406</v>
      </c>
      <c r="M72" s="3330"/>
      <c r="N72" s="1292">
        <f ca="1">D66</f>
        <v>3303</v>
      </c>
      <c r="O72" s="1845" t="str">
        <f>E66</f>
        <v>销售额×税（费）率</v>
      </c>
      <c r="P72" s="1293">
        <f>F66</f>
        <v>5.5000000000000007E-2</v>
      </c>
      <c r="Q72" s="2014"/>
      <c r="R72" s="2014"/>
      <c r="S72" s="2014"/>
      <c r="T72" s="2014"/>
      <c r="U72" s="2014"/>
      <c r="V72" s="2014"/>
    </row>
    <row r="73" spans="1:22" ht="24" customHeight="1">
      <c r="A73" s="3324" t="s">
        <v>411</v>
      </c>
      <c r="B73" s="3292"/>
      <c r="C73" s="3292"/>
      <c r="D73" s="362">
        <f ca="1">IF(H73="个人住宅",0,ROUND(D63*I73,0))</f>
        <v>32</v>
      </c>
      <c r="E73" s="17" t="s">
        <v>412</v>
      </c>
      <c r="F73" s="360">
        <f>IF(H73="正常",I73,"免征")</f>
        <v>5.0000000000000001E-4</v>
      </c>
      <c r="G73" s="361"/>
      <c r="H73" s="191" t="s">
        <v>3080</v>
      </c>
      <c r="I73" s="360">
        <f>'数据-取费表'!B49</f>
        <v>5.0000000000000001E-4</v>
      </c>
      <c r="J73" s="2021"/>
      <c r="K73" s="1962">
        <v>2</v>
      </c>
      <c r="L73" s="3330" t="s">
        <v>410</v>
      </c>
      <c r="M73" s="3330"/>
      <c r="N73" s="1292">
        <f t="shared" ref="N73:P74" ca="1" si="1">D73</f>
        <v>32</v>
      </c>
      <c r="O73" s="1845" t="str">
        <f t="shared" si="1"/>
        <v>销售额×税（费）率</v>
      </c>
      <c r="P73" s="1293">
        <f t="shared" si="1"/>
        <v>5.0000000000000001E-4</v>
      </c>
      <c r="Q73" s="2014"/>
      <c r="R73" s="2014"/>
      <c r="S73" s="2014"/>
      <c r="T73" s="2014"/>
      <c r="U73" s="2014"/>
      <c r="V73" s="2014"/>
    </row>
    <row r="74" spans="1:22" ht="24.75">
      <c r="A74" s="3324" t="s">
        <v>415</v>
      </c>
      <c r="B74" s="3292"/>
      <c r="C74" s="3292"/>
      <c r="D74" s="362">
        <f ca="1">IF(H74="个人住宅",D75,D76)</f>
        <v>14541</v>
      </c>
      <c r="E74" s="17" t="s">
        <v>416</v>
      </c>
      <c r="F74" s="360" t="str">
        <f>IF(H74="正常",F76,"免征")</f>
        <v>——</v>
      </c>
      <c r="G74" s="983" t="s">
        <v>417</v>
      </c>
      <c r="H74" s="363" t="s">
        <v>413</v>
      </c>
      <c r="I74" s="42"/>
      <c r="J74" s="2021"/>
      <c r="K74" s="1962">
        <v>3</v>
      </c>
      <c r="L74" s="3330" t="s">
        <v>414</v>
      </c>
      <c r="M74" s="3330"/>
      <c r="N74" s="1292">
        <f t="shared" ca="1" si="1"/>
        <v>14541</v>
      </c>
      <c r="O74" s="1845" t="str">
        <f t="shared" si="1"/>
        <v>增值额×税（费）率</v>
      </c>
      <c r="P74" s="1295" t="str">
        <f t="shared" si="1"/>
        <v>——</v>
      </c>
      <c r="Q74" s="2014"/>
      <c r="R74" s="2014"/>
      <c r="S74" s="2014"/>
      <c r="T74" s="2014"/>
      <c r="U74" s="2014"/>
      <c r="V74" s="2014"/>
    </row>
    <row r="75" spans="1:22" ht="12.75">
      <c r="A75" s="359" t="s">
        <v>418</v>
      </c>
      <c r="B75" s="3280" t="s">
        <v>419</v>
      </c>
      <c r="C75" s="3310"/>
      <c r="D75" s="364">
        <v>0</v>
      </c>
      <c r="E75" s="41" t="s">
        <v>420</v>
      </c>
      <c r="F75" s="365"/>
      <c r="G75" s="361"/>
      <c r="H75" s="42"/>
      <c r="I75" s="42"/>
      <c r="J75" s="2021"/>
      <c r="K75" s="3006" t="str">
        <f>IF(H77="非个人房产","",4)</f>
        <v/>
      </c>
      <c r="L75" s="3330" t="str">
        <f>IF(H77="非个人房产","——","个人所得税")</f>
        <v>——</v>
      </c>
      <c r="M75" s="3330"/>
      <c r="N75" s="1296" t="str">
        <f>D77</f>
        <v>——</v>
      </c>
      <c r="O75" s="1858" t="str">
        <f>E77</f>
        <v>——</v>
      </c>
      <c r="P75" s="1297" t="str">
        <f>F77</f>
        <v>——</v>
      </c>
      <c r="Q75" s="2014"/>
      <c r="R75" s="2014"/>
      <c r="S75" s="2014"/>
      <c r="T75" s="2014"/>
      <c r="U75" s="2014"/>
      <c r="V75" s="2014"/>
    </row>
    <row r="76" spans="1:22" ht="24.75">
      <c r="A76" s="359" t="s">
        <v>396</v>
      </c>
      <c r="B76" s="3280" t="s">
        <v>422</v>
      </c>
      <c r="C76" s="3281"/>
      <c r="D76" s="362">
        <f ca="1">IF(H76="转让取得",C99,C115)</f>
        <v>14541</v>
      </c>
      <c r="E76" s="17" t="s">
        <v>423</v>
      </c>
      <c r="F76" s="53" t="s">
        <v>21</v>
      </c>
      <c r="G76" s="361"/>
      <c r="H76" s="363" t="s">
        <v>424</v>
      </c>
      <c r="I76" s="42"/>
      <c r="J76" s="2021"/>
      <c r="K76" s="3006" t="str">
        <f>IF(项目基本情况!K6="上海银行",IF(K75="",4,K75+1),"")</f>
        <v/>
      </c>
      <c r="L76" s="3341" t="str">
        <f>IF(项目基本情况!K6="上海银行","其他处置费用","")</f>
        <v/>
      </c>
      <c r="M76" s="3342"/>
      <c r="N76" s="1292" t="str">
        <f>IF(项目基本情况!K6="上海银行",N89,"")</f>
        <v/>
      </c>
      <c r="O76" s="3343" t="str">
        <f>IF(项目基本情况!K6="上海银行","包含处置中涉及的律师、诉讼、拍卖、评估等费用","")</f>
        <v/>
      </c>
      <c r="P76" s="3344"/>
      <c r="Q76" s="2014"/>
      <c r="R76" s="2014"/>
      <c r="S76" s="2014"/>
      <c r="T76" s="2014"/>
      <c r="U76" s="2014"/>
      <c r="V76" s="2014"/>
    </row>
    <row r="77" spans="1:22" ht="24.75" thickBot="1">
      <c r="A77" s="3332" t="s">
        <v>426</v>
      </c>
      <c r="B77" s="3333"/>
      <c r="C77" s="3333"/>
      <c r="D77" s="366" t="str">
        <f>IF(H77="非个人房产","——",IF(H77="个人住宅",0,ROUND(D63*I77,0)))</f>
        <v>——</v>
      </c>
      <c r="E77" s="367" t="str">
        <f>IF(H77="非个人房产","——","销售额×税（费）率")</f>
        <v>——</v>
      </c>
      <c r="F77" s="368" t="str">
        <f>IF(H77="非个人房产","——",IF(H77="个人住宅","免征",I77))</f>
        <v>——</v>
      </c>
      <c r="G77" s="984" t="s">
        <v>417</v>
      </c>
      <c r="H77" s="363" t="s">
        <v>3081</v>
      </c>
      <c r="I77" s="369">
        <v>0.01</v>
      </c>
      <c r="J77" s="2021"/>
      <c r="K77" s="3331">
        <f>IF(AND(K75="",K76=""),4,IF(项目基本情况!K6="上海银行",K76+1,K75+1))</f>
        <v>4</v>
      </c>
      <c r="L77" s="3330" t="s">
        <v>2879</v>
      </c>
      <c r="M77" s="3012" t="s">
        <v>421</v>
      </c>
      <c r="N77" s="1298"/>
      <c r="O77" s="1299">
        <f ca="1">SUMIF(N72:N76,"&lt;9e307")</f>
        <v>17876</v>
      </c>
      <c r="P77" s="1300"/>
      <c r="Q77" s="3010">
        <f ca="1">O77/N69</f>
        <v>0.28346256917685492</v>
      </c>
      <c r="R77" s="2014"/>
      <c r="S77" s="2014"/>
      <c r="T77" s="2014"/>
      <c r="U77" s="2014"/>
      <c r="V77" s="2014"/>
    </row>
    <row r="78" spans="1:22" ht="12" customHeight="1">
      <c r="A78" s="1301"/>
      <c r="B78" s="311"/>
      <c r="C78" s="311"/>
      <c r="D78" s="311"/>
      <c r="E78" s="42"/>
      <c r="F78" s="42"/>
      <c r="G78" s="42"/>
      <c r="H78" s="1003"/>
      <c r="I78" s="311"/>
      <c r="J78" s="2021"/>
      <c r="K78" s="3331"/>
      <c r="L78" s="3330"/>
      <c r="M78" s="3012" t="s">
        <v>425</v>
      </c>
      <c r="N78" s="1298"/>
      <c r="O78" s="1299" t="str">
        <f ca="1">NUMBERSTRING(INT(O77*10000),2)&amp;"元整"</f>
        <v>壹亿柒仟捌佰柒拾陆万元整</v>
      </c>
      <c r="P78" s="1300"/>
      <c r="Q78" s="2014"/>
      <c r="R78" s="2014"/>
      <c r="S78" s="2014"/>
      <c r="T78" s="2014"/>
      <c r="U78" s="2014"/>
      <c r="V78" s="2014"/>
    </row>
    <row r="79" spans="1:22" ht="13.5" thickBot="1">
      <c r="A79" s="3325" t="s">
        <v>427</v>
      </c>
      <c r="B79" s="3325"/>
      <c r="C79" s="3325"/>
      <c r="D79" s="3325"/>
      <c r="E79" s="3325"/>
      <c r="F79" s="42"/>
      <c r="G79" s="42"/>
      <c r="H79" s="1003"/>
      <c r="I79" s="311"/>
      <c r="J79" s="2021"/>
      <c r="K79" s="3351">
        <f>K77+1</f>
        <v>5</v>
      </c>
      <c r="L79" s="3330" t="s">
        <v>2880</v>
      </c>
      <c r="M79" s="3012" t="s">
        <v>421</v>
      </c>
      <c r="N79" s="1298"/>
      <c r="O79" s="1299">
        <f ca="1">N69-O77</f>
        <v>45187</v>
      </c>
      <c r="P79" s="1300"/>
      <c r="Q79" s="2014"/>
      <c r="R79" s="2014"/>
      <c r="S79" s="2014"/>
      <c r="T79" s="2014"/>
      <c r="U79" s="2014"/>
      <c r="V79" s="2014"/>
    </row>
    <row r="80" spans="1:22" ht="25.5">
      <c r="A80" s="3320" t="s">
        <v>428</v>
      </c>
      <c r="B80" s="3321"/>
      <c r="C80" s="994"/>
      <c r="D80" s="994" t="s">
        <v>429</v>
      </c>
      <c r="E80" s="370" t="s">
        <v>430</v>
      </c>
      <c r="F80" s="42"/>
      <c r="G80" s="42"/>
      <c r="H80" s="1003"/>
      <c r="I80" s="311"/>
      <c r="J80" s="2014"/>
      <c r="K80" s="3352"/>
      <c r="L80" s="3330"/>
      <c r="M80" s="3012" t="s">
        <v>425</v>
      </c>
      <c r="N80" s="1298"/>
      <c r="O80" s="1299" t="str">
        <f ca="1">NUMBERSTRING(INT(O79*10000),2)&amp;"元整"</f>
        <v>肆亿伍仟壹佰捌拾柒万元整</v>
      </c>
      <c r="P80" s="1300"/>
      <c r="Q80" s="2014"/>
      <c r="R80" s="2014"/>
      <c r="S80" s="2014"/>
      <c r="T80" s="2014"/>
      <c r="U80" s="2014"/>
      <c r="V80" s="2014"/>
    </row>
    <row r="81" spans="1:26" ht="13.5" thickBot="1">
      <c r="A81" s="381" t="s">
        <v>1823</v>
      </c>
      <c r="B81" s="371" t="s">
        <v>431</v>
      </c>
      <c r="C81" s="372">
        <f ca="1">ROUND((C82+C83)/(1+'数据-取费表'!C42),0)</f>
        <v>60060</v>
      </c>
      <c r="D81" s="373"/>
      <c r="E81" s="374"/>
      <c r="F81" s="42"/>
      <c r="G81" s="42"/>
      <c r="H81" s="1003"/>
      <c r="I81" s="311"/>
      <c r="J81" s="2014"/>
      <c r="K81" s="3006">
        <f>K79+1</f>
        <v>6</v>
      </c>
      <c r="L81" s="3328" t="s">
        <v>2881</v>
      </c>
      <c r="M81" s="3329"/>
      <c r="N81" s="1302"/>
      <c r="O81" s="1303">
        <f ca="1">ROUND(O79*10000/'数据-汇总表'!E3,0)</f>
        <v>1457</v>
      </c>
      <c r="P81" s="1304"/>
      <c r="Q81" s="2014"/>
      <c r="R81" s="2014"/>
      <c r="S81" s="2014"/>
      <c r="T81" s="2014"/>
      <c r="U81" s="2014"/>
      <c r="V81" s="2014"/>
    </row>
    <row r="82" spans="1:26" ht="13.5" thickTop="1">
      <c r="A82" s="375" t="s">
        <v>1824</v>
      </c>
      <c r="B82" s="376" t="s">
        <v>432</v>
      </c>
      <c r="C82" s="377">
        <f ca="1">D63</f>
        <v>63063</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340" t="s">
        <v>2869</v>
      </c>
      <c r="L83" s="3018" t="s">
        <v>2870</v>
      </c>
      <c r="M83" s="3008">
        <f ca="1">IF(N69&gt;10000,N69*0.5%,IF(AND(N69&gt;1000,N69&lt;=10000),N69*1%,IF(AND(N69&gt;100,N69&lt;=1000),N69*3%,IF(AND(N69&gt;10,N69&lt;=100),N69*5%,N69*8%))))</f>
        <v>315.315</v>
      </c>
      <c r="N83" s="53">
        <f ca="1">ROUND(M83,1)</f>
        <v>315.3</v>
      </c>
      <c r="O83" s="3011"/>
      <c r="P83" s="2014"/>
      <c r="Q83" s="2014"/>
      <c r="R83" s="2014"/>
      <c r="S83" s="2014"/>
      <c r="T83" s="2014"/>
      <c r="U83" s="2014"/>
      <c r="V83" s="2014"/>
    </row>
    <row r="84" spans="1:26" ht="12.75">
      <c r="A84" s="381" t="s">
        <v>1826</v>
      </c>
      <c r="B84" s="382" t="s">
        <v>434</v>
      </c>
      <c r="C84" s="383">
        <v>2000</v>
      </c>
      <c r="D84" s="384" t="s">
        <v>19</v>
      </c>
      <c r="E84" s="3053" t="s">
        <v>2936</v>
      </c>
      <c r="F84" s="42"/>
      <c r="G84" s="42"/>
      <c r="H84" s="1003"/>
      <c r="I84" s="311"/>
      <c r="J84" s="2014"/>
      <c r="K84" s="3340"/>
      <c r="L84" s="3018" t="s">
        <v>2871</v>
      </c>
      <c r="M84" s="3008">
        <f ca="1">IF(N69&gt;2000,N69*0.5%,IF(AND(N69&gt;1000,N69&lt;=2000),N69*0.6%,IF(AND(N69&gt;500,N69&lt;=1000),N69*0.7%,IF(AND(N69&gt;200,N69&lt;=500),N69*0.8%,IF(AND(N69&gt;100,N69&lt;=200),N69*0.9%,IF(AND(N69&gt;50,N69&lt;=100),N69*1%,IF(AND(N69&gt;20,N69&lt;=50),N69*1.5%,IF(AND(N69&gt;10,N69&lt;=20),N69*2%,IF(AND(N69&gt;1,N69&lt;=10),N69*2.5%)))))))))</f>
        <v>315.315</v>
      </c>
      <c r="N84" s="53">
        <f t="shared" ref="N84:N85" ca="1" si="2">ROUND(M84,1)</f>
        <v>315.3</v>
      </c>
      <c r="O84" s="2014" t="s">
        <v>2872</v>
      </c>
      <c r="P84" s="2014"/>
      <c r="Q84" s="2014"/>
      <c r="R84" s="2014"/>
      <c r="S84" s="2014"/>
      <c r="T84" s="2014"/>
      <c r="U84" s="2014"/>
      <c r="V84" s="2014"/>
    </row>
    <row r="85" spans="1:26" ht="12.75">
      <c r="A85" s="381" t="s">
        <v>1827</v>
      </c>
      <c r="B85" s="382" t="s">
        <v>435</v>
      </c>
      <c r="C85" s="385">
        <f ca="1">C81-C84</f>
        <v>58060</v>
      </c>
      <c r="D85" s="378" t="s">
        <v>19</v>
      </c>
      <c r="E85" s="379"/>
      <c r="F85" s="42"/>
      <c r="G85" s="42"/>
      <c r="H85" s="1003"/>
      <c r="I85" s="311"/>
      <c r="J85" s="2014"/>
      <c r="K85" s="3340"/>
      <c r="L85" s="3018" t="s">
        <v>2873</v>
      </c>
      <c r="M85" s="3008">
        <f ca="1">IF(N69&gt;1000,N69*0.1%,IF(AND(N69&gt;500,N69&lt;=1000),N69*0.5%,IF(AND(N69&gt;50,N69&lt;=500),N69*1%,IF(AND(N69&gt;1,N69&lt;=50),N69*1.5%))))</f>
        <v>63.063000000000002</v>
      </c>
      <c r="N85" s="53">
        <f t="shared" ca="1" si="2"/>
        <v>63.1</v>
      </c>
      <c r="O85" s="2014" t="s">
        <v>2872</v>
      </c>
      <c r="P85" s="2014"/>
      <c r="Q85" s="2014"/>
      <c r="R85" s="2014"/>
      <c r="S85" s="2014"/>
      <c r="T85" s="2014"/>
      <c r="U85" s="2014"/>
      <c r="V85" s="2014"/>
    </row>
    <row r="86" spans="1:26" ht="13.5" thickBot="1">
      <c r="A86" s="386" t="s">
        <v>1828</v>
      </c>
      <c r="B86" s="387" t="s">
        <v>436</v>
      </c>
      <c r="C86" s="388">
        <f ca="1">IF(C85&lt;=0,0,ROUND(C85*D86,0))</f>
        <v>3193</v>
      </c>
      <c r="D86" s="389">
        <f>'数据-取费表'!B41</f>
        <v>5.5000000000000007E-2</v>
      </c>
      <c r="E86" s="390"/>
      <c r="F86" s="42"/>
      <c r="G86" s="42"/>
      <c r="H86" s="1003"/>
      <c r="I86" s="311"/>
      <c r="J86" s="2014"/>
      <c r="K86" s="3340"/>
      <c r="L86" s="3018" t="s">
        <v>2874</v>
      </c>
      <c r="M86" s="3008">
        <f ca="1">N69*0.5%</f>
        <v>315.315</v>
      </c>
      <c r="N86" s="53">
        <f ca="1">IF(M86&gt;0.5,0.5,ROUND(M86,0))</f>
        <v>0.5</v>
      </c>
      <c r="O86" s="2014" t="s">
        <v>2875</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340"/>
      <c r="L87" s="3018" t="s">
        <v>2876</v>
      </c>
      <c r="M87" s="3008">
        <f ca="1">IF(N69&gt;=10000,(8.25+(N69-10000)*0.01%),IF(AND(N69&gt;=8000,N69&lt;10000),(7.85+(N69-8000)*0.02%),IF(AND(N69&gt;=5000,N69&lt;8000),(6.65+(N69-5000)*0.04%),IF(AND(N69&gt;=2000,N69&lt;5000),(4.25+(PN69-2000)*0.08%),IF(AND(N69&gt;=1000,N69&lt;2000),(2.75+(N69-1000)*0.15%),IF(AND(N69&gt;=100,N69&lt;1000),(0.5+(N69-100)*0.25%),IF(AND(N69&gt;0,N69&lt;100),N69*0.5%)))))))</f>
        <v>13.5563</v>
      </c>
      <c r="N87" s="53">
        <f ca="1">ROUND(M87*0.9,1)</f>
        <v>12.2</v>
      </c>
      <c r="O87" s="3011"/>
      <c r="P87" s="311"/>
      <c r="Q87" s="2014"/>
      <c r="R87" s="2014"/>
      <c r="S87" s="2014"/>
      <c r="T87" s="2014"/>
      <c r="U87" s="2014"/>
      <c r="V87" s="2014"/>
      <c r="W87" s="292"/>
      <c r="X87" s="292"/>
      <c r="Y87" s="292"/>
      <c r="Z87" s="292"/>
    </row>
    <row r="88" spans="1:26" s="1310" customFormat="1" ht="15" thickBot="1">
      <c r="A88" s="3322" t="s">
        <v>437</v>
      </c>
      <c r="B88" s="3323"/>
      <c r="C88" s="3323"/>
      <c r="D88" s="3323"/>
      <c r="E88" s="3323"/>
      <c r="F88" s="3323"/>
      <c r="G88" s="3323"/>
      <c r="H88" s="3323"/>
      <c r="I88" s="1311"/>
      <c r="J88" s="2022"/>
      <c r="K88" s="3340"/>
      <c r="L88" s="3018" t="s">
        <v>2877</v>
      </c>
      <c r="M88" s="3008">
        <f ca="1">IF(N69&gt;10000,N69*0.5%,IF(AND(N69&gt;5000,N69&lt;=10000),N69*1%,IF(AND(N69&gt;1000,N69&lt;=5000),N69*2%,IF(AND(N69&gt;200,N69&lt;=1000),N69*3%,N69*5%))))</f>
        <v>315.315</v>
      </c>
      <c r="N88" s="53">
        <f ca="1">ROUND(M88,1)</f>
        <v>315.3</v>
      </c>
      <c r="O88" s="3011"/>
      <c r="P88" s="11"/>
      <c r="Q88" s="2019"/>
      <c r="R88" s="2019"/>
      <c r="S88" s="2019"/>
      <c r="T88" s="2019"/>
      <c r="U88" s="2019"/>
      <c r="V88" s="2019"/>
      <c r="W88" s="2023"/>
      <c r="X88" s="2023"/>
      <c r="Y88" s="2023"/>
      <c r="Z88" s="2023"/>
    </row>
    <row r="89" spans="1:26" s="1310" customFormat="1" ht="14.25">
      <c r="A89" s="3320" t="s">
        <v>428</v>
      </c>
      <c r="B89" s="3321"/>
      <c r="C89" s="994"/>
      <c r="D89" s="994" t="s">
        <v>429</v>
      </c>
      <c r="E89" s="391" t="s">
        <v>438</v>
      </c>
      <c r="F89" s="392"/>
      <c r="G89" s="392"/>
      <c r="H89" s="393"/>
      <c r="I89" s="1312"/>
      <c r="J89" s="2024"/>
      <c r="K89" s="3340"/>
      <c r="L89" s="3018" t="s">
        <v>27</v>
      </c>
      <c r="M89" s="3009"/>
      <c r="N89" s="53">
        <f ca="1">ROUND(SUM(N83:N88),0)</f>
        <v>1022</v>
      </c>
      <c r="O89" s="3019">
        <f ca="1">N89/N69</f>
        <v>1.6206016206016208E-2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60060</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2861</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283" t="s">
        <v>447</v>
      </c>
      <c r="F94" s="3282"/>
      <c r="G94" s="3282"/>
      <c r="H94" s="3319"/>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2426</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300</v>
      </c>
      <c r="D96" s="406">
        <f>'数据-取费表'!B43</f>
        <v>5.000000000000001E-3</v>
      </c>
      <c r="E96" s="3311" t="s">
        <v>2425</v>
      </c>
      <c r="F96" s="3312"/>
      <c r="G96" s="3312"/>
      <c r="H96" s="3313"/>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57199</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19.992659909122683</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33318</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22" t="s">
        <v>454</v>
      </c>
      <c r="B101" s="3323"/>
      <c r="C101" s="3323"/>
      <c r="D101" s="3323"/>
      <c r="E101" s="3323"/>
      <c r="F101" s="3323"/>
      <c r="G101" s="3323"/>
      <c r="H101" s="3323"/>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20" t="s">
        <v>428</v>
      </c>
      <c r="B102" s="3321"/>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60060</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23829</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21390</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f>ROUND(20757.3426,0)</f>
        <v>20757</v>
      </c>
      <c r="D106" s="406"/>
      <c r="E106" s="417" t="s">
        <v>457</v>
      </c>
      <c r="F106" s="986"/>
      <c r="G106" s="418" t="s">
        <v>458</v>
      </c>
      <c r="H106" s="419" t="s">
        <v>2436</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633</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0</v>
      </c>
      <c r="D109" s="406"/>
      <c r="E109" s="3314" t="s">
        <v>462</v>
      </c>
      <c r="F109" s="3312"/>
      <c r="G109" s="3312"/>
      <c r="H109" s="1927" t="s">
        <v>2276</v>
      </c>
      <c r="I109" s="1928">
        <v>0</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2139</v>
      </c>
      <c r="D110" s="406">
        <v>0.1</v>
      </c>
      <c r="E110" s="3314" t="s">
        <v>464</v>
      </c>
      <c r="F110" s="3312"/>
      <c r="G110" s="3312"/>
      <c r="H110" s="3313"/>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300</v>
      </c>
      <c r="D111" s="406">
        <f>'数据-取费表'!B43</f>
        <v>5.000000000000001E-3</v>
      </c>
      <c r="E111" s="3311" t="s">
        <v>2425</v>
      </c>
      <c r="F111" s="3312"/>
      <c r="G111" s="3312"/>
      <c r="H111" s="3313"/>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14" t="s">
        <v>2450</v>
      </c>
      <c r="F112" s="3312"/>
      <c r="G112" s="3312"/>
      <c r="H112" s="3313"/>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36231</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1.5204582651391163</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14541</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3" zoomScale="80" zoomScaleNormal="95" zoomScaleSheetLayoutView="80" workbookViewId="0">
      <selection activeCell="F58" sqref="F58"/>
    </sheetView>
  </sheetViews>
  <sheetFormatPr defaultColWidth="9" defaultRowHeight="14.25"/>
  <cols>
    <col min="1" max="1" width="15.625" style="1333" customWidth="1"/>
    <col min="2" max="2" width="15.875" style="1333" customWidth="1"/>
    <col min="3" max="3" width="15.125" style="1333" customWidth="1"/>
    <col min="4" max="4" width="12.125" style="1333" customWidth="1"/>
    <col min="5" max="5" width="16.125" style="1333" customWidth="1"/>
    <col min="6" max="6" width="12.125" style="1333" customWidth="1"/>
    <col min="7" max="7" width="15.625" style="1333" customWidth="1"/>
    <col min="8" max="8" width="12.125" style="1333" customWidth="1"/>
    <col min="9" max="9" width="15.62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67761</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2185</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6555</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437</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65" t="s">
        <v>522</v>
      </c>
      <c r="D6" s="3366"/>
      <c r="E6" s="3365" t="s">
        <v>523</v>
      </c>
      <c r="F6" s="3366"/>
      <c r="G6" s="3365" t="s">
        <v>524</v>
      </c>
      <c r="H6" s="3366"/>
      <c r="I6" s="3365" t="s">
        <v>525</v>
      </c>
      <c r="J6" s="3366"/>
      <c r="K6" s="514" t="s">
        <v>526</v>
      </c>
      <c r="L6" s="2119"/>
      <c r="M6" s="2118"/>
      <c r="N6" s="2118"/>
      <c r="O6" s="2120"/>
      <c r="P6" s="3367" t="s">
        <v>527</v>
      </c>
      <c r="Q6" s="3368"/>
      <c r="R6" s="3373" t="s">
        <v>523</v>
      </c>
      <c r="S6" s="3374"/>
      <c r="T6" s="3373" t="s">
        <v>524</v>
      </c>
      <c r="U6" s="3374"/>
      <c r="V6" s="3360" t="s">
        <v>525</v>
      </c>
      <c r="W6" s="3360"/>
      <c r="X6" s="1554"/>
      <c r="Y6" s="3373" t="s">
        <v>527</v>
      </c>
      <c r="Z6" s="3374"/>
      <c r="AA6" s="3362" t="s">
        <v>523</v>
      </c>
      <c r="AB6" s="3363" t="s">
        <v>524</v>
      </c>
      <c r="AC6" s="3362" t="s">
        <v>525</v>
      </c>
    </row>
    <row r="7" spans="1:30" ht="46.5" customHeight="1">
      <c r="A7" s="515"/>
      <c r="B7" s="516"/>
      <c r="C7" s="3381" t="s">
        <v>2925</v>
      </c>
      <c r="D7" s="3382"/>
      <c r="E7" s="3381" t="str">
        <f>土地案例!A6</f>
        <v>金堂县三星镇兰家店路以南、南北一路以西(三星51号拟出让地块)</v>
      </c>
      <c r="F7" s="3382"/>
      <c r="G7" s="3381" t="str">
        <f>土地案例!A7</f>
        <v>金堂县三星镇唐巴路以南、星文路以东(三星D-4拟出让地块)</v>
      </c>
      <c r="H7" s="3382"/>
      <c r="I7" s="3381" t="str">
        <f>土地案例!A8</f>
        <v>金堂县赵镇毗河三桥东侧</v>
      </c>
      <c r="J7" s="3382"/>
      <c r="K7" s="514"/>
      <c r="L7" s="2119"/>
      <c r="M7" s="2118"/>
      <c r="N7" s="2118"/>
      <c r="O7" s="2120"/>
      <c r="P7" s="3369"/>
      <c r="Q7" s="3370"/>
      <c r="R7" s="3375"/>
      <c r="S7" s="3376"/>
      <c r="T7" s="3375"/>
      <c r="U7" s="3376"/>
      <c r="V7" s="3360"/>
      <c r="W7" s="3360"/>
      <c r="X7" s="1554"/>
      <c r="Y7" s="3375"/>
      <c r="Z7" s="3376"/>
      <c r="AA7" s="3363"/>
      <c r="AB7" s="3363"/>
      <c r="AC7" s="3363"/>
    </row>
    <row r="8" spans="1:30" ht="21" thickBot="1">
      <c r="A8" s="515"/>
      <c r="B8" s="516"/>
      <c r="C8" s="3383" t="s">
        <v>2929</v>
      </c>
      <c r="D8" s="3384"/>
      <c r="E8" s="3383" t="s">
        <v>2929</v>
      </c>
      <c r="F8" s="3384"/>
      <c r="G8" s="3379" t="s">
        <v>2929</v>
      </c>
      <c r="H8" s="3380"/>
      <c r="I8" s="3379" t="s">
        <v>2929</v>
      </c>
      <c r="J8" s="3380"/>
      <c r="K8" s="514" t="s">
        <v>528</v>
      </c>
      <c r="L8" s="2119"/>
      <c r="M8" s="2118"/>
      <c r="N8" s="2118"/>
      <c r="O8" s="2120"/>
      <c r="P8" s="3371"/>
      <c r="Q8" s="3372"/>
      <c r="R8" s="3375"/>
      <c r="S8" s="3376"/>
      <c r="T8" s="3377"/>
      <c r="U8" s="3378"/>
      <c r="V8" s="3360"/>
      <c r="W8" s="3360"/>
      <c r="X8" s="1554"/>
      <c r="Y8" s="3377"/>
      <c r="Z8" s="3378"/>
      <c r="AA8" s="3364"/>
      <c r="AB8" s="3364"/>
      <c r="AC8" s="3364"/>
    </row>
    <row r="9" spans="1:30" s="1216" customFormat="1" ht="21" thickBot="1">
      <c r="A9" s="2868"/>
      <c r="B9" s="2875" t="s">
        <v>529</v>
      </c>
      <c r="C9" s="2867">
        <f>'数据-取费表'!B2</f>
        <v>43927</v>
      </c>
      <c r="D9" s="520">
        <v>100</v>
      </c>
      <c r="E9" s="521" t="str">
        <f>土地案例!H6</f>
        <v>2019-05-30</v>
      </c>
      <c r="F9" s="522">
        <f>SUMIF(72:72,YEAR(E9)&amp;"-"&amp;INT((MONTH(E9)+2)/3),73:73)</f>
        <v>98</v>
      </c>
      <c r="G9" s="523" t="str">
        <f>土地案例!H7</f>
        <v>2019-04-11</v>
      </c>
      <c r="H9" s="520">
        <f>SUMIF(72:72,YEAR(G9)&amp;"-"&amp;INT((MONTH(G9)+2)/3),73:73)</f>
        <v>98</v>
      </c>
      <c r="I9" s="523" t="str">
        <f>土地案例!H8</f>
        <v>2019-01-31</v>
      </c>
      <c r="J9" s="520">
        <f>SUMIF(72:72,YEAR(I9)&amp;"-"&amp;INT((MONTH(I9)+2)/3),73:73)</f>
        <v>97.5</v>
      </c>
      <c r="K9" s="524"/>
      <c r="L9" s="2121"/>
      <c r="M9" s="2118"/>
      <c r="N9" s="2118"/>
      <c r="O9" s="2122"/>
      <c r="P9" s="3390" t="s">
        <v>530</v>
      </c>
      <c r="Q9" s="3392"/>
      <c r="R9" s="1555" t="s">
        <v>8</v>
      </c>
      <c r="S9" s="1556">
        <f t="shared" ref="S9:S17" si="0">F9</f>
        <v>98</v>
      </c>
      <c r="T9" s="1555" t="s">
        <v>8</v>
      </c>
      <c r="U9" s="1556">
        <f t="shared" ref="U9:U17" si="1">H9</f>
        <v>98</v>
      </c>
      <c r="V9" s="1555" t="s">
        <v>8</v>
      </c>
      <c r="W9" s="1556">
        <f t="shared" ref="W9:W17" si="2">J9</f>
        <v>97.5</v>
      </c>
      <c r="X9" s="1557"/>
      <c r="Y9" s="3390" t="s">
        <v>530</v>
      </c>
      <c r="Z9" s="3391"/>
      <c r="AA9" s="1558">
        <f>D9/F9</f>
        <v>1.0204081632653061</v>
      </c>
      <c r="AB9" s="1558">
        <f>D9/H9</f>
        <v>1.0204081632653061</v>
      </c>
      <c r="AC9" s="1558">
        <f>D9/J9</f>
        <v>1.0256410256410255</v>
      </c>
    </row>
    <row r="10" spans="1:30" s="1216" customFormat="1" ht="21" thickBot="1">
      <c r="A10" s="2869"/>
      <c r="B10" s="2876"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21"/>
      <c r="M10" s="2118"/>
      <c r="N10" s="2118"/>
      <c r="O10" s="2122"/>
      <c r="P10" s="3390" t="s">
        <v>533</v>
      </c>
      <c r="Q10" s="3391"/>
      <c r="R10" s="1555" t="s">
        <v>8</v>
      </c>
      <c r="S10" s="1556">
        <f t="shared" si="0"/>
        <v>100</v>
      </c>
      <c r="T10" s="1555" t="s">
        <v>8</v>
      </c>
      <c r="U10" s="1556">
        <f t="shared" si="1"/>
        <v>100</v>
      </c>
      <c r="V10" s="1555" t="s">
        <v>8</v>
      </c>
      <c r="W10" s="1556">
        <f t="shared" si="2"/>
        <v>100</v>
      </c>
      <c r="X10" s="1557"/>
      <c r="Y10" s="3390" t="s">
        <v>533</v>
      </c>
      <c r="Z10" s="3391"/>
      <c r="AA10" s="1558">
        <f t="shared" ref="AA10:AA47" si="3">D10/F10</f>
        <v>1</v>
      </c>
      <c r="AB10" s="1558">
        <f t="shared" ref="AB10:AB47" si="4">D10/H10</f>
        <v>1</v>
      </c>
      <c r="AC10" s="1558">
        <f t="shared" ref="AC10:AC47" si="5">D10/J10</f>
        <v>1</v>
      </c>
    </row>
    <row r="11" spans="1:30" s="1216" customFormat="1" ht="20.25">
      <c r="A11" s="2870"/>
      <c r="B11" s="2877" t="s">
        <v>2751</v>
      </c>
      <c r="C11" s="2864" t="s">
        <v>923</v>
      </c>
      <c r="D11" s="254">
        <v>100</v>
      </c>
      <c r="E11" s="2864" t="s">
        <v>923</v>
      </c>
      <c r="F11" s="254">
        <f>SUMIF(77:77,E11,78:78)-SUMIF(77:77,C11,78:78)+100</f>
        <v>100</v>
      </c>
      <c r="G11" s="2864" t="s">
        <v>923</v>
      </c>
      <c r="H11" s="254">
        <f>SUMIF(77:77,G11,78:78)-SUMIF(77:77,C11,78:78)+100</f>
        <v>100</v>
      </c>
      <c r="I11" s="2864" t="s">
        <v>923</v>
      </c>
      <c r="J11" s="254">
        <f>SUMIF(77:77,I11,78:78)-SUMIF(77:77,C11,78:78)+100</f>
        <v>100</v>
      </c>
      <c r="K11" s="524"/>
      <c r="L11" s="2121"/>
      <c r="M11" s="2118"/>
      <c r="N11" s="2118"/>
      <c r="O11" s="2123"/>
      <c r="P11" s="3359" t="s">
        <v>535</v>
      </c>
      <c r="Q11" s="1147" t="str">
        <f t="shared" ref="Q11:Q17" si="6">B11</f>
        <v>用途</v>
      </c>
      <c r="R11" s="1555" t="s">
        <v>8</v>
      </c>
      <c r="S11" s="1556">
        <f t="shared" si="0"/>
        <v>100</v>
      </c>
      <c r="T11" s="1555" t="s">
        <v>8</v>
      </c>
      <c r="U11" s="1556">
        <f t="shared" si="1"/>
        <v>100</v>
      </c>
      <c r="V11" s="1555" t="s">
        <v>8</v>
      </c>
      <c r="W11" s="1556">
        <f t="shared" si="2"/>
        <v>100</v>
      </c>
      <c r="X11" s="1557"/>
      <c r="Y11" s="3305" t="s">
        <v>536</v>
      </c>
      <c r="Z11" s="1146" t="str">
        <f t="shared" ref="Z11:Z17" si="7">Q11</f>
        <v>用途</v>
      </c>
      <c r="AA11" s="1558">
        <f t="shared" si="3"/>
        <v>1</v>
      </c>
      <c r="AB11" s="1558">
        <f t="shared" si="4"/>
        <v>1</v>
      </c>
      <c r="AC11" s="1558">
        <f t="shared" si="5"/>
        <v>1</v>
      </c>
    </row>
    <row r="12" spans="1:30" s="1334" customFormat="1" ht="27">
      <c r="A12" s="2871"/>
      <c r="B12" s="2876" t="s">
        <v>2752</v>
      </c>
      <c r="C12" s="910">
        <f>项目基本情况!D19</f>
        <v>66.430000000000007</v>
      </c>
      <c r="D12" s="255">
        <v>100</v>
      </c>
      <c r="E12" s="529" t="s">
        <v>3091</v>
      </c>
      <c r="F12" s="255">
        <f>ROUND(100/'数据-取费表'!G16,0)</f>
        <v>101</v>
      </c>
      <c r="G12" s="530" t="s">
        <v>3091</v>
      </c>
      <c r="H12" s="255">
        <f>ROUND(100/'数据-取费表'!G16,0)</f>
        <v>101</v>
      </c>
      <c r="I12" s="530" t="s">
        <v>3091</v>
      </c>
      <c r="J12" s="255">
        <f>ROUND(100/'数据-取费表'!G16,0)</f>
        <v>101</v>
      </c>
      <c r="K12" s="531"/>
      <c r="L12" s="2124"/>
      <c r="M12" s="2118"/>
      <c r="N12" s="2118"/>
      <c r="O12" s="2125"/>
      <c r="P12" s="3359"/>
      <c r="Q12" s="1147" t="str">
        <f t="shared" si="6"/>
        <v>土地使用年限（年）</v>
      </c>
      <c r="R12" s="1555" t="s">
        <v>8</v>
      </c>
      <c r="S12" s="1556">
        <f t="shared" si="0"/>
        <v>101</v>
      </c>
      <c r="T12" s="1555" t="s">
        <v>8</v>
      </c>
      <c r="U12" s="1556">
        <f t="shared" si="1"/>
        <v>101</v>
      </c>
      <c r="V12" s="1555" t="s">
        <v>8</v>
      </c>
      <c r="W12" s="1556">
        <f t="shared" si="2"/>
        <v>101</v>
      </c>
      <c r="X12" s="1557"/>
      <c r="Y12" s="3305"/>
      <c r="Z12" s="1146" t="str">
        <f t="shared" si="7"/>
        <v>土地使用年限（年）</v>
      </c>
      <c r="AA12" s="1558">
        <f t="shared" si="3"/>
        <v>0.99009900990099009</v>
      </c>
      <c r="AB12" s="1558">
        <f t="shared" si="4"/>
        <v>0.99009900990099009</v>
      </c>
      <c r="AC12" s="1558">
        <f t="shared" si="5"/>
        <v>0.99009900990099009</v>
      </c>
    </row>
    <row r="13" spans="1:30" ht="21" thickBot="1">
      <c r="A13" s="2872"/>
      <c r="B13" s="2876" t="s">
        <v>2753</v>
      </c>
      <c r="C13" s="534">
        <f>'数据-汇总表'!I6</f>
        <v>3</v>
      </c>
      <c r="D13" s="255">
        <v>100</v>
      </c>
      <c r="E13" s="533">
        <v>2.5</v>
      </c>
      <c r="F13" s="255">
        <f>LOOKUP(E13,82:82,83:83)-LOOKUP(C13,82:82,83:83)+100</f>
        <v>102</v>
      </c>
      <c r="G13" s="534">
        <v>2.5</v>
      </c>
      <c r="H13" s="255">
        <f>LOOKUP(G13,82:82,83:83)-LOOKUP(C13,82:82,83:83)+100</f>
        <v>102</v>
      </c>
      <c r="I13" s="533">
        <v>2</v>
      </c>
      <c r="J13" s="255">
        <f>LOOKUP(I13,82:82,83:83)-LOOKUP(C13,82:82,83:83)+100</f>
        <v>102</v>
      </c>
      <c r="K13" s="535">
        <v>2</v>
      </c>
      <c r="L13" s="2126"/>
      <c r="M13" s="2118"/>
      <c r="N13" s="2118"/>
      <c r="O13" s="2127"/>
      <c r="P13" s="3359"/>
      <c r="Q13" s="1147" t="str">
        <f t="shared" si="6"/>
        <v>容积率</v>
      </c>
      <c r="R13" s="1555" t="s">
        <v>8</v>
      </c>
      <c r="S13" s="1556">
        <f t="shared" si="0"/>
        <v>102</v>
      </c>
      <c r="T13" s="1555" t="s">
        <v>8</v>
      </c>
      <c r="U13" s="1556">
        <f t="shared" si="1"/>
        <v>102</v>
      </c>
      <c r="V13" s="1555" t="s">
        <v>8</v>
      </c>
      <c r="W13" s="1556">
        <f t="shared" si="2"/>
        <v>102</v>
      </c>
      <c r="X13" s="1557"/>
      <c r="Y13" s="3305"/>
      <c r="Z13" s="1146" t="str">
        <f t="shared" si="7"/>
        <v>容积率</v>
      </c>
      <c r="AA13" s="1558">
        <f t="shared" si="3"/>
        <v>0.98039215686274506</v>
      </c>
      <c r="AB13" s="1558">
        <f t="shared" si="4"/>
        <v>0.98039215686274506</v>
      </c>
      <c r="AC13" s="1558">
        <f t="shared" si="5"/>
        <v>0.98039215686274506</v>
      </c>
    </row>
    <row r="14" spans="1:30" s="1216" customFormat="1" ht="20.25" hidden="1">
      <c r="A14" s="2869"/>
      <c r="B14" s="2878" t="s">
        <v>2754</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59"/>
      <c r="Q14" s="1147" t="str">
        <f t="shared" si="6"/>
        <v>配建</v>
      </c>
      <c r="R14" s="1555" t="s">
        <v>8</v>
      </c>
      <c r="S14" s="1556">
        <f t="shared" si="0"/>
        <v>100</v>
      </c>
      <c r="T14" s="1555" t="s">
        <v>8</v>
      </c>
      <c r="U14" s="1556">
        <f t="shared" si="1"/>
        <v>100</v>
      </c>
      <c r="V14" s="1555" t="s">
        <v>8</v>
      </c>
      <c r="W14" s="1556">
        <f t="shared" si="2"/>
        <v>100</v>
      </c>
      <c r="X14" s="1557"/>
      <c r="Y14" s="3305"/>
      <c r="Z14" s="1146" t="str">
        <f t="shared" si="7"/>
        <v>配建</v>
      </c>
      <c r="AA14" s="1558">
        <f>D14/F14</f>
        <v>1</v>
      </c>
      <c r="AB14" s="1558">
        <f>D14/H14</f>
        <v>1</v>
      </c>
      <c r="AC14" s="1558">
        <f>D14/J14</f>
        <v>1</v>
      </c>
    </row>
    <row r="15" spans="1:30" ht="20.25" hidden="1">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59"/>
      <c r="Q15" s="1147">
        <f t="shared" si="6"/>
        <v>111</v>
      </c>
      <c r="R15" s="1555" t="s">
        <v>8</v>
      </c>
      <c r="S15" s="1556">
        <f t="shared" si="0"/>
        <v>100</v>
      </c>
      <c r="T15" s="1555" t="s">
        <v>8</v>
      </c>
      <c r="U15" s="1556">
        <f t="shared" si="1"/>
        <v>100</v>
      </c>
      <c r="V15" s="1555" t="s">
        <v>8</v>
      </c>
      <c r="W15" s="1556">
        <f t="shared" si="2"/>
        <v>100</v>
      </c>
      <c r="X15" s="1557"/>
      <c r="Y15" s="3305"/>
      <c r="Z15" s="1146">
        <f t="shared" si="7"/>
        <v>111</v>
      </c>
      <c r="AA15" s="1558">
        <f>D15/F15</f>
        <v>1</v>
      </c>
      <c r="AB15" s="1558">
        <f>D15/H15</f>
        <v>1</v>
      </c>
      <c r="AC15" s="1558">
        <f>D15/J15</f>
        <v>1</v>
      </c>
    </row>
    <row r="16" spans="1:30" ht="21" hidden="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59"/>
      <c r="Q16" s="1147">
        <f t="shared" si="6"/>
        <v>111</v>
      </c>
      <c r="R16" s="1555" t="s">
        <v>8</v>
      </c>
      <c r="S16" s="1556">
        <f t="shared" si="0"/>
        <v>100</v>
      </c>
      <c r="T16" s="1555" t="s">
        <v>8</v>
      </c>
      <c r="U16" s="1556">
        <f t="shared" si="1"/>
        <v>100</v>
      </c>
      <c r="V16" s="1555" t="s">
        <v>8</v>
      </c>
      <c r="W16" s="1556">
        <f t="shared" si="2"/>
        <v>100</v>
      </c>
      <c r="X16" s="1557"/>
      <c r="Y16" s="3305"/>
      <c r="Z16" s="1146">
        <f t="shared" si="7"/>
        <v>111</v>
      </c>
      <c r="AA16" s="1558">
        <f>D16/F16</f>
        <v>1</v>
      </c>
      <c r="AB16" s="1558">
        <f>D16/H16</f>
        <v>1</v>
      </c>
      <c r="AC16" s="1558">
        <f>D16/J16</f>
        <v>1</v>
      </c>
    </row>
    <row r="17" spans="1:29" ht="99.75">
      <c r="A17" s="2866" t="s">
        <v>2749</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2</v>
      </c>
      <c r="L17" s="2128"/>
      <c r="M17" s="2118"/>
      <c r="N17" s="2118"/>
      <c r="O17" s="2127"/>
      <c r="P17" s="3393" t="s">
        <v>540</v>
      </c>
      <c r="Q17" s="1559" t="str">
        <f t="shared" si="6"/>
        <v>居住社区成熟度</v>
      </c>
      <c r="R17" s="1560" t="s">
        <v>8</v>
      </c>
      <c r="S17" s="1561">
        <f t="shared" si="0"/>
        <v>100</v>
      </c>
      <c r="T17" s="1560" t="s">
        <v>8</v>
      </c>
      <c r="U17" s="1561">
        <f t="shared" si="1"/>
        <v>100</v>
      </c>
      <c r="V17" s="1560" t="s">
        <v>8</v>
      </c>
      <c r="W17" s="1561">
        <f t="shared" si="2"/>
        <v>100</v>
      </c>
      <c r="X17" s="1554"/>
      <c r="Y17" s="3393" t="s">
        <v>540</v>
      </c>
      <c r="Z17" s="1562" t="str">
        <f t="shared" si="7"/>
        <v>居住社区成熟度</v>
      </c>
      <c r="AA17" s="1563">
        <f t="shared" si="3"/>
        <v>1</v>
      </c>
      <c r="AB17" s="1563">
        <f t="shared" si="4"/>
        <v>1</v>
      </c>
      <c r="AC17" s="1563">
        <f t="shared" si="5"/>
        <v>1</v>
      </c>
    </row>
    <row r="18" spans="1:29" ht="20.25">
      <c r="A18" s="532"/>
      <c r="B18" s="553"/>
      <c r="C18" s="554" t="s">
        <v>3092</v>
      </c>
      <c r="D18" s="557"/>
      <c r="E18" s="554" t="s">
        <v>3092</v>
      </c>
      <c r="F18" s="555"/>
      <c r="G18" s="554" t="s">
        <v>3092</v>
      </c>
      <c r="H18" s="559"/>
      <c r="I18" s="554" t="s">
        <v>3092</v>
      </c>
      <c r="J18" s="555"/>
      <c r="K18" s="531"/>
      <c r="L18" s="2128"/>
      <c r="M18" s="2118"/>
      <c r="N18" s="2118"/>
      <c r="O18" s="2127"/>
      <c r="P18" s="3394"/>
      <c r="Q18" s="1559"/>
      <c r="R18" s="1560"/>
      <c r="S18" s="1561"/>
      <c r="T18" s="1560"/>
      <c r="U18" s="1561"/>
      <c r="V18" s="1560"/>
      <c r="W18" s="1561"/>
      <c r="X18" s="1554"/>
      <c r="Y18" s="3394"/>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2</v>
      </c>
      <c r="L19" s="2128"/>
      <c r="M19" s="2118"/>
      <c r="N19" s="2118"/>
      <c r="O19" s="2127"/>
      <c r="P19" s="3394"/>
      <c r="Q19" s="1559" t="str">
        <f>B19</f>
        <v>商业繁华度</v>
      </c>
      <c r="R19" s="1560" t="s">
        <v>8</v>
      </c>
      <c r="S19" s="1561">
        <f>F19</f>
        <v>100</v>
      </c>
      <c r="T19" s="1560" t="s">
        <v>8</v>
      </c>
      <c r="U19" s="1561">
        <f>H19</f>
        <v>100</v>
      </c>
      <c r="V19" s="1560" t="s">
        <v>8</v>
      </c>
      <c r="W19" s="1561">
        <f>J19</f>
        <v>100</v>
      </c>
      <c r="X19" s="1554"/>
      <c r="Y19" s="3394"/>
      <c r="Z19" s="1562" t="str">
        <f>Q19</f>
        <v>商业繁华度</v>
      </c>
      <c r="AA19" s="1563">
        <f t="shared" si="3"/>
        <v>1</v>
      </c>
      <c r="AB19" s="1563">
        <f t="shared" si="4"/>
        <v>1</v>
      </c>
      <c r="AC19" s="1563">
        <f t="shared" si="5"/>
        <v>1</v>
      </c>
    </row>
    <row r="20" spans="1:29" ht="20.25">
      <c r="A20" s="532"/>
      <c r="B20" s="566"/>
      <c r="C20" s="567" t="s">
        <v>3092</v>
      </c>
      <c r="D20" s="563"/>
      <c r="E20" s="567" t="s">
        <v>3092</v>
      </c>
      <c r="F20" s="559"/>
      <c r="G20" s="567" t="s">
        <v>3092</v>
      </c>
      <c r="H20" s="555"/>
      <c r="I20" s="567" t="s">
        <v>3092</v>
      </c>
      <c r="J20" s="555"/>
      <c r="K20" s="531"/>
      <c r="L20" s="2128"/>
      <c r="M20" s="2118"/>
      <c r="N20" s="2118"/>
      <c r="O20" s="2127"/>
      <c r="P20" s="3394"/>
      <c r="Q20" s="1559"/>
      <c r="R20" s="1560"/>
      <c r="S20" s="1561"/>
      <c r="T20" s="1560"/>
      <c r="U20" s="1561"/>
      <c r="V20" s="1560"/>
      <c r="W20" s="1561"/>
      <c r="X20" s="1554"/>
      <c r="Y20" s="3394"/>
      <c r="Z20" s="1562"/>
      <c r="AA20" s="1563">
        <v>1</v>
      </c>
      <c r="AB20" s="1563">
        <v>1</v>
      </c>
      <c r="AC20" s="1563">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394"/>
      <c r="Q21" s="1559" t="str">
        <f>B21</f>
        <v>办公集聚程度</v>
      </c>
      <c r="R21" s="1560" t="s">
        <v>8</v>
      </c>
      <c r="S21" s="1561">
        <f>F21</f>
        <v>100</v>
      </c>
      <c r="T21" s="1560" t="s">
        <v>8</v>
      </c>
      <c r="U21" s="1561">
        <f>H21</f>
        <v>100</v>
      </c>
      <c r="V21" s="1560" t="s">
        <v>8</v>
      </c>
      <c r="W21" s="1561">
        <f>J21</f>
        <v>100</v>
      </c>
      <c r="X21" s="1554"/>
      <c r="Y21" s="3394"/>
      <c r="Z21" s="1562" t="str">
        <f>Q21</f>
        <v>办公集聚程度</v>
      </c>
      <c r="AA21" s="1563">
        <f t="shared" si="3"/>
        <v>1</v>
      </c>
      <c r="AB21" s="1563">
        <f t="shared" si="4"/>
        <v>1</v>
      </c>
      <c r="AC21" s="1563">
        <f t="shared" si="5"/>
        <v>1</v>
      </c>
    </row>
    <row r="22" spans="1:29" ht="20.25" hidden="1">
      <c r="A22" s="532"/>
      <c r="B22" s="566"/>
      <c r="C22" s="554"/>
      <c r="D22" s="557"/>
      <c r="E22" s="558"/>
      <c r="F22" s="555"/>
      <c r="G22" s="556"/>
      <c r="H22" s="555"/>
      <c r="I22" s="558"/>
      <c r="J22" s="555"/>
      <c r="K22" s="531"/>
      <c r="L22" s="2128"/>
      <c r="M22" s="2118"/>
      <c r="N22" s="2118"/>
      <c r="O22" s="2127"/>
      <c r="P22" s="3394"/>
      <c r="Q22" s="1559"/>
      <c r="R22" s="1560"/>
      <c r="S22" s="1561"/>
      <c r="T22" s="1560"/>
      <c r="U22" s="1561"/>
      <c r="V22" s="1560"/>
      <c r="W22" s="1561"/>
      <c r="X22" s="1554"/>
      <c r="Y22" s="3394"/>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2</v>
      </c>
      <c r="L23" s="2128"/>
      <c r="M23" s="2118"/>
      <c r="N23" s="2118"/>
      <c r="O23" s="2127"/>
      <c r="P23" s="3394"/>
      <c r="Q23" s="1559" t="str">
        <f>B23</f>
        <v>交通便捷度</v>
      </c>
      <c r="R23" s="1560" t="s">
        <v>8</v>
      </c>
      <c r="S23" s="1561">
        <f>F23</f>
        <v>100</v>
      </c>
      <c r="T23" s="1560" t="s">
        <v>8</v>
      </c>
      <c r="U23" s="1561">
        <f>H23</f>
        <v>100</v>
      </c>
      <c r="V23" s="1560" t="s">
        <v>8</v>
      </c>
      <c r="W23" s="1561">
        <f>J23</f>
        <v>100</v>
      </c>
      <c r="X23" s="1554"/>
      <c r="Y23" s="3394"/>
      <c r="Z23" s="1562" t="str">
        <f>Q23</f>
        <v>交通便捷度</v>
      </c>
      <c r="AA23" s="1563">
        <f t="shared" si="3"/>
        <v>1</v>
      </c>
      <c r="AB23" s="1563">
        <f t="shared" si="4"/>
        <v>1</v>
      </c>
      <c r="AC23" s="1563">
        <f t="shared" si="5"/>
        <v>1</v>
      </c>
    </row>
    <row r="24" spans="1:29" ht="20.25">
      <c r="A24" s="532"/>
      <c r="B24" s="578"/>
      <c r="C24" s="554" t="s">
        <v>3092</v>
      </c>
      <c r="D24" s="557"/>
      <c r="E24" s="554" t="s">
        <v>3092</v>
      </c>
      <c r="F24" s="555"/>
      <c r="G24" s="554" t="s">
        <v>3092</v>
      </c>
      <c r="H24" s="555"/>
      <c r="I24" s="554" t="s">
        <v>3092</v>
      </c>
      <c r="J24" s="555"/>
      <c r="K24" s="531"/>
      <c r="L24" s="2128"/>
      <c r="M24" s="2118"/>
      <c r="N24" s="2118"/>
      <c r="O24" s="2127"/>
      <c r="P24" s="3394"/>
      <c r="Q24" s="1559"/>
      <c r="R24" s="1560"/>
      <c r="S24" s="1561"/>
      <c r="T24" s="1560"/>
      <c r="U24" s="1561"/>
      <c r="V24" s="1560"/>
      <c r="W24" s="1561"/>
      <c r="X24" s="1554"/>
      <c r="Y24" s="3394"/>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2</v>
      </c>
      <c r="L25" s="2128"/>
      <c r="M25" s="2118"/>
      <c r="N25" s="2118"/>
      <c r="O25" s="2127"/>
      <c r="P25" s="3394"/>
      <c r="Q25" s="1559" t="str">
        <f t="shared" ref="Q25:Q39" si="8">B25</f>
        <v>区域土地利用方向</v>
      </c>
      <c r="R25" s="1560" t="s">
        <v>8</v>
      </c>
      <c r="S25" s="1561">
        <f>F25</f>
        <v>100</v>
      </c>
      <c r="T25" s="1560" t="s">
        <v>8</v>
      </c>
      <c r="U25" s="1561">
        <f>H25</f>
        <v>100</v>
      </c>
      <c r="V25" s="1560" t="s">
        <v>8</v>
      </c>
      <c r="W25" s="1561">
        <f>J25</f>
        <v>100</v>
      </c>
      <c r="X25" s="1554"/>
      <c r="Y25" s="3394"/>
      <c r="Z25" s="1562" t="str">
        <f>Q25</f>
        <v>区域土地利用方向</v>
      </c>
      <c r="AA25" s="1563">
        <f t="shared" si="3"/>
        <v>1</v>
      </c>
      <c r="AB25" s="1563">
        <f t="shared" si="4"/>
        <v>1</v>
      </c>
      <c r="AC25" s="1563">
        <f t="shared" si="5"/>
        <v>1</v>
      </c>
    </row>
    <row r="26" spans="1:29" ht="20.25">
      <c r="A26" s="515"/>
      <c r="B26" s="1007"/>
      <c r="C26" s="554" t="s">
        <v>3093</v>
      </c>
      <c r="D26" s="557"/>
      <c r="E26" s="554" t="s">
        <v>3093</v>
      </c>
      <c r="F26" s="555"/>
      <c r="G26" s="554" t="s">
        <v>3093</v>
      </c>
      <c r="H26" s="555"/>
      <c r="I26" s="554" t="s">
        <v>3093</v>
      </c>
      <c r="J26" s="555"/>
      <c r="K26" s="531"/>
      <c r="L26" s="2128"/>
      <c r="M26" s="2118"/>
      <c r="N26" s="2118"/>
      <c r="O26" s="2127"/>
      <c r="P26" s="3394"/>
      <c r="Q26" s="1559"/>
      <c r="R26" s="1560"/>
      <c r="S26" s="1561"/>
      <c r="T26" s="1560"/>
      <c r="U26" s="1561"/>
      <c r="V26" s="1560"/>
      <c r="W26" s="1561"/>
      <c r="X26" s="1554"/>
      <c r="Y26" s="3394"/>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2</v>
      </c>
      <c r="L27" s="2128"/>
      <c r="M27" s="2118"/>
      <c r="N27" s="2118"/>
      <c r="O27" s="2127"/>
      <c r="P27" s="3394"/>
      <c r="Q27" s="1559" t="str">
        <f t="shared" si="8"/>
        <v>自然及人文环境状况</v>
      </c>
      <c r="R27" s="1560" t="s">
        <v>8</v>
      </c>
      <c r="S27" s="1561">
        <f>F27</f>
        <v>100</v>
      </c>
      <c r="T27" s="1560" t="s">
        <v>8</v>
      </c>
      <c r="U27" s="1561">
        <f>H27</f>
        <v>100</v>
      </c>
      <c r="V27" s="1560" t="s">
        <v>8</v>
      </c>
      <c r="W27" s="1561">
        <f>J27</f>
        <v>100</v>
      </c>
      <c r="X27" s="1554"/>
      <c r="Y27" s="3394"/>
      <c r="Z27" s="1562" t="str">
        <f>Q27</f>
        <v>自然及人文环境状况</v>
      </c>
      <c r="AA27" s="1563">
        <f t="shared" si="3"/>
        <v>1</v>
      </c>
      <c r="AB27" s="1563">
        <f t="shared" si="4"/>
        <v>1</v>
      </c>
      <c r="AC27" s="1563">
        <f t="shared" si="5"/>
        <v>1</v>
      </c>
    </row>
    <row r="28" spans="1:29" ht="20.25">
      <c r="A28" s="515"/>
      <c r="B28" s="566"/>
      <c r="C28" s="554" t="s">
        <v>3092</v>
      </c>
      <c r="D28" s="557"/>
      <c r="E28" s="554" t="s">
        <v>3092</v>
      </c>
      <c r="F28" s="555"/>
      <c r="G28" s="554" t="s">
        <v>3092</v>
      </c>
      <c r="H28" s="555"/>
      <c r="I28" s="554" t="s">
        <v>3092</v>
      </c>
      <c r="J28" s="555"/>
      <c r="K28" s="531"/>
      <c r="L28" s="2128"/>
      <c r="M28" s="2118"/>
      <c r="N28" s="2118"/>
      <c r="O28" s="2127"/>
      <c r="P28" s="3394"/>
      <c r="Q28" s="1559"/>
      <c r="R28" s="1560"/>
      <c r="S28" s="1561"/>
      <c r="T28" s="1560"/>
      <c r="U28" s="1561"/>
      <c r="V28" s="1560"/>
      <c r="W28" s="1561"/>
      <c r="X28" s="1554"/>
      <c r="Y28" s="3394"/>
      <c r="Z28" s="1562"/>
      <c r="AA28" s="1563">
        <v>1</v>
      </c>
      <c r="AB28" s="1563">
        <v>1</v>
      </c>
      <c r="AC28" s="1563">
        <v>1</v>
      </c>
    </row>
    <row r="29" spans="1:29" s="1216" customFormat="1" ht="42.75">
      <c r="A29" s="577"/>
      <c r="B29" s="2556" t="s">
        <v>2544</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2</v>
      </c>
      <c r="L29" s="2121"/>
      <c r="M29" s="2118"/>
      <c r="N29" s="2118"/>
      <c r="O29" s="2123"/>
      <c r="P29" s="3394"/>
      <c r="Q29" s="1147" t="str">
        <f t="shared" si="8"/>
        <v>公共配套设施</v>
      </c>
      <c r="R29" s="1555" t="s">
        <v>8</v>
      </c>
      <c r="S29" s="1556">
        <f>F29</f>
        <v>100</v>
      </c>
      <c r="T29" s="1555" t="s">
        <v>8</v>
      </c>
      <c r="U29" s="1556">
        <f>H29</f>
        <v>100</v>
      </c>
      <c r="V29" s="1555" t="s">
        <v>8</v>
      </c>
      <c r="W29" s="1556">
        <f>J29</f>
        <v>100</v>
      </c>
      <c r="X29" s="1557"/>
      <c r="Y29" s="3394"/>
      <c r="Z29" s="1146" t="str">
        <f>Q29</f>
        <v>公共配套设施</v>
      </c>
      <c r="AA29" s="1563">
        <f>D29/F29</f>
        <v>1</v>
      </c>
      <c r="AB29" s="1563">
        <f>D29/H29</f>
        <v>1</v>
      </c>
      <c r="AC29" s="1563">
        <f>D29/J29</f>
        <v>1</v>
      </c>
    </row>
    <row r="30" spans="1:29" s="1216" customFormat="1" ht="20.25">
      <c r="A30" s="577"/>
      <c r="B30" s="566"/>
      <c r="C30" s="579" t="s">
        <v>3092</v>
      </c>
      <c r="D30" s="557"/>
      <c r="E30" s="579" t="s">
        <v>3092</v>
      </c>
      <c r="F30" s="555"/>
      <c r="G30" s="579" t="s">
        <v>3092</v>
      </c>
      <c r="H30" s="555"/>
      <c r="I30" s="579" t="s">
        <v>3092</v>
      </c>
      <c r="J30" s="555"/>
      <c r="K30" s="531"/>
      <c r="L30" s="2121"/>
      <c r="M30" s="2118"/>
      <c r="N30" s="2118"/>
      <c r="O30" s="2123"/>
      <c r="P30" s="3394"/>
      <c r="Q30" s="1147"/>
      <c r="R30" s="1555"/>
      <c r="S30" s="1556"/>
      <c r="T30" s="1555"/>
      <c r="U30" s="1556"/>
      <c r="V30" s="1555"/>
      <c r="W30" s="1556"/>
      <c r="X30" s="1557"/>
      <c r="Y30" s="3394"/>
      <c r="Z30" s="1146"/>
      <c r="AA30" s="1563">
        <v>1</v>
      </c>
      <c r="AB30" s="1563">
        <v>1</v>
      </c>
      <c r="AC30" s="1563">
        <v>1</v>
      </c>
    </row>
    <row r="31" spans="1:29" s="1216" customFormat="1" ht="28.5">
      <c r="A31" s="577"/>
      <c r="B31" s="2556" t="s">
        <v>2545</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21"/>
      <c r="M31" s="2118"/>
      <c r="N31" s="2118"/>
      <c r="O31" s="2123"/>
      <c r="P31" s="3394"/>
      <c r="Q31" s="2543" t="str">
        <f t="shared" ref="Q31" si="9">B31</f>
        <v>基础设施水平</v>
      </c>
      <c r="R31" s="1555" t="s">
        <v>8</v>
      </c>
      <c r="S31" s="1556">
        <f>F31</f>
        <v>100</v>
      </c>
      <c r="T31" s="1555" t="s">
        <v>8</v>
      </c>
      <c r="U31" s="1556">
        <f>H31</f>
        <v>100</v>
      </c>
      <c r="V31" s="1555" t="s">
        <v>8</v>
      </c>
      <c r="W31" s="1556">
        <f>J31</f>
        <v>100</v>
      </c>
      <c r="X31" s="1557"/>
      <c r="Y31" s="3394"/>
      <c r="Z31" s="2540" t="str">
        <f>Q31</f>
        <v>基础设施水平</v>
      </c>
      <c r="AA31" s="1563">
        <f>D31/F31</f>
        <v>1</v>
      </c>
      <c r="AB31" s="1563">
        <f>D31/H31</f>
        <v>1</v>
      </c>
      <c r="AC31" s="1563">
        <f>D31/J31</f>
        <v>1</v>
      </c>
    </row>
    <row r="32" spans="1:29" s="1216" customFormat="1" ht="21" thickBot="1">
      <c r="A32" s="577"/>
      <c r="B32" s="566"/>
      <c r="C32" s="579" t="s">
        <v>3094</v>
      </c>
      <c r="D32" s="557"/>
      <c r="E32" s="579" t="s">
        <v>3094</v>
      </c>
      <c r="F32" s="555"/>
      <c r="G32" s="579" t="s">
        <v>3094</v>
      </c>
      <c r="H32" s="555"/>
      <c r="I32" s="579" t="s">
        <v>3094</v>
      </c>
      <c r="J32" s="555"/>
      <c r="K32" s="531"/>
      <c r="L32" s="2121"/>
      <c r="M32" s="2118"/>
      <c r="N32" s="2118"/>
      <c r="O32" s="2123"/>
      <c r="P32" s="3394"/>
      <c r="Q32" s="2543"/>
      <c r="R32" s="1555"/>
      <c r="S32" s="1556"/>
      <c r="T32" s="1555"/>
      <c r="U32" s="1556"/>
      <c r="V32" s="1555"/>
      <c r="W32" s="1556"/>
      <c r="X32" s="1557"/>
      <c r="Y32" s="3394"/>
      <c r="Z32" s="2540"/>
      <c r="AA32" s="1563">
        <v>1</v>
      </c>
      <c r="AB32" s="1563">
        <v>1</v>
      </c>
      <c r="AC32" s="1563">
        <v>1</v>
      </c>
    </row>
    <row r="33" spans="1:29" ht="20.25" hidden="1">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394"/>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394"/>
      <c r="Z33" s="1562" t="str">
        <f t="shared" ref="Z33:Z47" si="13">Q33</f>
        <v>临街状况</v>
      </c>
      <c r="AA33" s="1563">
        <f t="shared" si="3"/>
        <v>1</v>
      </c>
      <c r="AB33" s="1563">
        <f t="shared" si="4"/>
        <v>1</v>
      </c>
      <c r="AC33" s="1563">
        <f t="shared" si="5"/>
        <v>1</v>
      </c>
    </row>
    <row r="34" spans="1:29" ht="27" hidden="1">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394"/>
      <c r="Q34" s="1559" t="str">
        <f t="shared" si="8"/>
        <v>毗邻道路的类型与等级</v>
      </c>
      <c r="R34" s="1560" t="s">
        <v>8</v>
      </c>
      <c r="S34" s="1561">
        <f t="shared" si="10"/>
        <v>100</v>
      </c>
      <c r="T34" s="1560" t="s">
        <v>8</v>
      </c>
      <c r="U34" s="1561">
        <f t="shared" si="11"/>
        <v>100</v>
      </c>
      <c r="V34" s="1560" t="s">
        <v>8</v>
      </c>
      <c r="W34" s="1561">
        <f t="shared" si="12"/>
        <v>100</v>
      </c>
      <c r="X34" s="1554"/>
      <c r="Y34" s="3394"/>
      <c r="Z34" s="1562" t="str">
        <f t="shared" si="13"/>
        <v>毗邻道路的类型与等级</v>
      </c>
      <c r="AA34" s="1563">
        <f t="shared" si="3"/>
        <v>1</v>
      </c>
      <c r="AB34" s="1563">
        <f t="shared" si="4"/>
        <v>1</v>
      </c>
      <c r="AC34" s="1563">
        <f t="shared" si="5"/>
        <v>1</v>
      </c>
    </row>
    <row r="35" spans="1:29" ht="20.25" hidden="1">
      <c r="A35" s="532"/>
      <c r="B35" s="566"/>
      <c r="C35" s="554"/>
      <c r="D35" s="557"/>
      <c r="E35" s="576"/>
      <c r="F35" s="555"/>
      <c r="G35" s="554"/>
      <c r="H35" s="555"/>
      <c r="I35" s="576"/>
      <c r="J35" s="555"/>
      <c r="K35" s="581"/>
      <c r="L35" s="2128"/>
      <c r="M35" s="2118"/>
      <c r="N35" s="2118"/>
      <c r="O35" s="2127"/>
      <c r="P35" s="3394"/>
      <c r="Q35" s="1559"/>
      <c r="R35" s="1560"/>
      <c r="S35" s="1561"/>
      <c r="T35" s="1560"/>
      <c r="U35" s="1561"/>
      <c r="V35" s="1560"/>
      <c r="W35" s="1561"/>
      <c r="X35" s="1554"/>
      <c r="Y35" s="3394"/>
      <c r="Z35" s="1562"/>
      <c r="AA35" s="1563">
        <v>1</v>
      </c>
      <c r="AB35" s="1563">
        <v>1</v>
      </c>
      <c r="AC35" s="1563">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394"/>
      <c r="Q36" s="1559" t="str">
        <f t="shared" si="8"/>
        <v>土地级别</v>
      </c>
      <c r="R36" s="1560" t="s">
        <v>8</v>
      </c>
      <c r="S36" s="1561">
        <f t="shared" si="10"/>
        <v>100</v>
      </c>
      <c r="T36" s="1560" t="s">
        <v>8</v>
      </c>
      <c r="U36" s="1561">
        <f t="shared" si="11"/>
        <v>100</v>
      </c>
      <c r="V36" s="1560" t="s">
        <v>8</v>
      </c>
      <c r="W36" s="1561">
        <f t="shared" si="12"/>
        <v>100</v>
      </c>
      <c r="X36" s="1554"/>
      <c r="Y36" s="3394"/>
      <c r="Z36" s="1562" t="str">
        <f t="shared" si="13"/>
        <v>土地级别</v>
      </c>
      <c r="AA36" s="1563">
        <f t="shared" si="3"/>
        <v>1</v>
      </c>
      <c r="AB36" s="1563">
        <f t="shared" si="4"/>
        <v>1</v>
      </c>
      <c r="AC36" s="1563">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394"/>
      <c r="Q37" s="1559">
        <f t="shared" si="8"/>
        <v>111</v>
      </c>
      <c r="R37" s="1560" t="s">
        <v>8</v>
      </c>
      <c r="S37" s="1561">
        <f t="shared" si="10"/>
        <v>100</v>
      </c>
      <c r="T37" s="1560" t="s">
        <v>8</v>
      </c>
      <c r="U37" s="1561">
        <f t="shared" si="11"/>
        <v>100</v>
      </c>
      <c r="V37" s="1560" t="s">
        <v>8</v>
      </c>
      <c r="W37" s="1561">
        <f t="shared" si="12"/>
        <v>100</v>
      </c>
      <c r="X37" s="1554"/>
      <c r="Y37" s="3394"/>
      <c r="Z37" s="1562">
        <f t="shared" si="13"/>
        <v>111</v>
      </c>
      <c r="AA37" s="1563">
        <f t="shared" si="3"/>
        <v>1</v>
      </c>
      <c r="AB37" s="1563">
        <f t="shared" si="4"/>
        <v>1</v>
      </c>
      <c r="AC37" s="1563">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395" t="s">
        <v>550</v>
      </c>
      <c r="Q38" s="1559">
        <f t="shared" si="8"/>
        <v>111</v>
      </c>
      <c r="R38" s="1560" t="s">
        <v>8</v>
      </c>
      <c r="S38" s="1561">
        <f t="shared" si="10"/>
        <v>100</v>
      </c>
      <c r="T38" s="1560" t="s">
        <v>8</v>
      </c>
      <c r="U38" s="1561">
        <f t="shared" si="11"/>
        <v>100</v>
      </c>
      <c r="V38" s="1560" t="s">
        <v>8</v>
      </c>
      <c r="W38" s="1561">
        <f t="shared" si="12"/>
        <v>100</v>
      </c>
      <c r="X38" s="1554"/>
      <c r="Y38" s="3396" t="s">
        <v>550</v>
      </c>
      <c r="Z38" s="1562">
        <f t="shared" si="13"/>
        <v>111</v>
      </c>
      <c r="AA38" s="1563">
        <f t="shared" si="3"/>
        <v>1</v>
      </c>
      <c r="AB38" s="1563">
        <f t="shared" si="4"/>
        <v>1</v>
      </c>
      <c r="AC38" s="1563">
        <f t="shared" si="5"/>
        <v>1</v>
      </c>
    </row>
    <row r="39" spans="1:29" s="1335"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396"/>
      <c r="Q39" s="1559">
        <f t="shared" si="8"/>
        <v>111</v>
      </c>
      <c r="R39" s="1564" t="s">
        <v>8</v>
      </c>
      <c r="S39" s="1565">
        <f t="shared" si="10"/>
        <v>100</v>
      </c>
      <c r="T39" s="1564" t="s">
        <v>8</v>
      </c>
      <c r="U39" s="1565">
        <f t="shared" si="11"/>
        <v>100</v>
      </c>
      <c r="V39" s="1564" t="s">
        <v>8</v>
      </c>
      <c r="W39" s="1565">
        <f t="shared" si="12"/>
        <v>100</v>
      </c>
      <c r="X39" s="1566"/>
      <c r="Y39" s="3396"/>
      <c r="Z39" s="1567">
        <f t="shared" si="13"/>
        <v>111</v>
      </c>
      <c r="AA39" s="1563">
        <f t="shared" si="3"/>
        <v>1</v>
      </c>
      <c r="AB39" s="1563">
        <f t="shared" si="4"/>
        <v>1</v>
      </c>
      <c r="AC39" s="1563">
        <f t="shared" si="5"/>
        <v>1</v>
      </c>
    </row>
    <row r="40" spans="1:29" ht="20.25">
      <c r="A40" s="2863" t="s">
        <v>2750</v>
      </c>
      <c r="B40" s="595" t="s">
        <v>552</v>
      </c>
      <c r="C40" s="596">
        <f>'数据-汇总表'!D3</f>
        <v>103373.22</v>
      </c>
      <c r="D40" s="597">
        <v>100</v>
      </c>
      <c r="E40" s="596">
        <f>土地案例!D6</f>
        <v>69994.86</v>
      </c>
      <c r="F40" s="597">
        <f>LOOKUP(E40,119:119,120:120)-LOOKUP(C40,119:119,120:120)+100</f>
        <v>98</v>
      </c>
      <c r="G40" s="596">
        <f>土地案例!D7</f>
        <v>24097.19</v>
      </c>
      <c r="H40" s="597">
        <f>LOOKUP(G40,119:119,120:120)-LOOKUP(C40,119:119,120:120)+100</f>
        <v>96</v>
      </c>
      <c r="I40" s="598">
        <f>土地案例!D8</f>
        <v>69999.600000000006</v>
      </c>
      <c r="J40" s="597">
        <f>LOOKUP(I40,119:119,120:120)-LOOKUP(C40,119:119,120:120)+100</f>
        <v>98</v>
      </c>
      <c r="K40" s="581"/>
      <c r="L40" s="2128"/>
      <c r="M40" s="2118"/>
      <c r="N40" s="2118"/>
      <c r="O40" s="2127"/>
      <c r="P40" s="3396"/>
      <c r="Q40" s="1559" t="str">
        <f>B40</f>
        <v>宗地面积</v>
      </c>
      <c r="R40" s="1560" t="s">
        <v>8</v>
      </c>
      <c r="S40" s="1561">
        <f t="shared" si="10"/>
        <v>98</v>
      </c>
      <c r="T40" s="1560" t="s">
        <v>8</v>
      </c>
      <c r="U40" s="1561">
        <f t="shared" si="11"/>
        <v>96</v>
      </c>
      <c r="V40" s="1560" t="s">
        <v>8</v>
      </c>
      <c r="W40" s="1561">
        <f t="shared" si="12"/>
        <v>98</v>
      </c>
      <c r="X40" s="1554"/>
      <c r="Y40" s="3396"/>
      <c r="Z40" s="1562" t="str">
        <f t="shared" si="13"/>
        <v>宗地面积</v>
      </c>
      <c r="AA40" s="1563">
        <f t="shared" si="3"/>
        <v>1.0204081632653061</v>
      </c>
      <c r="AB40" s="1563">
        <f t="shared" si="4"/>
        <v>1.0416666666666667</v>
      </c>
      <c r="AC40" s="1563">
        <f t="shared" si="5"/>
        <v>1.0204081632653061</v>
      </c>
    </row>
    <row r="41" spans="1:29" ht="20.25">
      <c r="A41" s="594"/>
      <c r="B41" s="527" t="s">
        <v>553</v>
      </c>
      <c r="C41" s="599" t="s">
        <v>3096</v>
      </c>
      <c r="D41" s="540">
        <v>100</v>
      </c>
      <c r="E41" s="599" t="s">
        <v>3096</v>
      </c>
      <c r="F41" s="540">
        <f>SUMIF(121:121,E41,122:122)-SUMIF(121:121,C41,122:122)+100</f>
        <v>100</v>
      </c>
      <c r="G41" s="599" t="s">
        <v>3096</v>
      </c>
      <c r="H41" s="540">
        <f>SUMIF(121:121,G41,122:122)-SUMIF(121:121,C41,122:122)+100</f>
        <v>100</v>
      </c>
      <c r="I41" s="599" t="s">
        <v>3096</v>
      </c>
      <c r="J41" s="540">
        <f>SUMIF(121:121,I41,122:122)-SUMIF(121:121,C41,122:122)+100</f>
        <v>100</v>
      </c>
      <c r="K41" s="584">
        <v>1</v>
      </c>
      <c r="L41" s="2128"/>
      <c r="M41" s="2118"/>
      <c r="N41" s="2118"/>
      <c r="O41" s="2127"/>
      <c r="P41" s="3396"/>
      <c r="Q41" s="1559" t="str">
        <f t="shared" ref="Q41:Q47" si="14">B41</f>
        <v>宗地形状</v>
      </c>
      <c r="R41" s="1560" t="s">
        <v>8</v>
      </c>
      <c r="S41" s="1561">
        <f t="shared" si="10"/>
        <v>100</v>
      </c>
      <c r="T41" s="1560" t="s">
        <v>8</v>
      </c>
      <c r="U41" s="1561">
        <f t="shared" si="11"/>
        <v>100</v>
      </c>
      <c r="V41" s="1560" t="s">
        <v>8</v>
      </c>
      <c r="W41" s="1561">
        <f t="shared" si="12"/>
        <v>100</v>
      </c>
      <c r="X41" s="1554"/>
      <c r="Y41" s="3396"/>
      <c r="Z41" s="1562" t="str">
        <f t="shared" si="13"/>
        <v>宗地形状</v>
      </c>
      <c r="AA41" s="1563">
        <f t="shared" si="3"/>
        <v>1</v>
      </c>
      <c r="AB41" s="1563">
        <f t="shared" si="4"/>
        <v>1</v>
      </c>
      <c r="AC41" s="1563">
        <f t="shared" si="5"/>
        <v>1</v>
      </c>
    </row>
    <row r="42" spans="1:29" ht="20.25">
      <c r="A42" s="594"/>
      <c r="B42" s="527" t="s">
        <v>554</v>
      </c>
      <c r="C42" s="599" t="s">
        <v>3101</v>
      </c>
      <c r="D42" s="540">
        <v>100</v>
      </c>
      <c r="E42" s="599" t="s">
        <v>3101</v>
      </c>
      <c r="F42" s="540">
        <f>SUMIF(123:123,E42,124:124)-SUMIF(123:123,C42,124:124)+100</f>
        <v>100</v>
      </c>
      <c r="G42" s="599" t="s">
        <v>3101</v>
      </c>
      <c r="H42" s="540">
        <f>SUMIF(123:123,G42,124:124)-SUMIF(123:123,C42,124:124)+100</f>
        <v>100</v>
      </c>
      <c r="I42" s="599" t="s">
        <v>3101</v>
      </c>
      <c r="J42" s="540">
        <f>SUMIF(123:123,I42,124:124)-SUMIF(123:123,C42,124:124)+100</f>
        <v>100</v>
      </c>
      <c r="K42" s="584">
        <v>1</v>
      </c>
      <c r="L42" s="2128"/>
      <c r="M42" s="2118"/>
      <c r="N42" s="2118"/>
      <c r="O42" s="2127"/>
      <c r="P42" s="3396"/>
      <c r="Q42" s="1559" t="str">
        <f t="shared" si="14"/>
        <v>临街宽度及深度</v>
      </c>
      <c r="R42" s="1560" t="s">
        <v>8</v>
      </c>
      <c r="S42" s="1561">
        <f t="shared" si="10"/>
        <v>100</v>
      </c>
      <c r="T42" s="1560" t="s">
        <v>8</v>
      </c>
      <c r="U42" s="1561">
        <f t="shared" si="11"/>
        <v>100</v>
      </c>
      <c r="V42" s="1560" t="s">
        <v>8</v>
      </c>
      <c r="W42" s="1561">
        <f t="shared" si="12"/>
        <v>100</v>
      </c>
      <c r="X42" s="1554"/>
      <c r="Y42" s="3396"/>
      <c r="Z42" s="1562" t="str">
        <f t="shared" si="13"/>
        <v>临街宽度及深度</v>
      </c>
      <c r="AA42" s="1563">
        <f t="shared" si="3"/>
        <v>1</v>
      </c>
      <c r="AB42" s="1563">
        <f t="shared" si="4"/>
        <v>1</v>
      </c>
      <c r="AC42" s="1563">
        <f t="shared" si="5"/>
        <v>1</v>
      </c>
    </row>
    <row r="43" spans="1:29" s="1216" customFormat="1" ht="20.25">
      <c r="A43" s="600"/>
      <c r="B43" s="1881" t="s">
        <v>2421</v>
      </c>
      <c r="C43" s="601" t="s">
        <v>3094</v>
      </c>
      <c r="D43" s="255">
        <v>100</v>
      </c>
      <c r="E43" s="601" t="s">
        <v>3094</v>
      </c>
      <c r="F43" s="540">
        <f>SUMIF(125:125,E43,126:126)-SUMIF(125:125,C43,126:126)+100</f>
        <v>100</v>
      </c>
      <c r="G43" s="601" t="s">
        <v>3094</v>
      </c>
      <c r="H43" s="540">
        <f>SUMIF(125:125,G43,126:126)-SUMIF(125:125,C43,126:126)+100</f>
        <v>100</v>
      </c>
      <c r="I43" s="601" t="s">
        <v>3094</v>
      </c>
      <c r="J43" s="540">
        <f>SUMIF(125:125,I43,126:126)-SUMIF(125:125,C43,126:126)+100</f>
        <v>100</v>
      </c>
      <c r="K43" s="584">
        <v>1</v>
      </c>
      <c r="L43" s="2121"/>
      <c r="M43" s="2118"/>
      <c r="N43" s="2118"/>
      <c r="O43" s="2123"/>
      <c r="P43" s="3396"/>
      <c r="Q43" s="1559" t="str">
        <f t="shared" si="14"/>
        <v>宗地开发程度</v>
      </c>
      <c r="R43" s="1555" t="s">
        <v>8</v>
      </c>
      <c r="S43" s="1556">
        <f t="shared" si="10"/>
        <v>100</v>
      </c>
      <c r="T43" s="1555" t="s">
        <v>8</v>
      </c>
      <c r="U43" s="1556">
        <f t="shared" si="11"/>
        <v>100</v>
      </c>
      <c r="V43" s="1555" t="s">
        <v>8</v>
      </c>
      <c r="W43" s="1556">
        <f t="shared" si="12"/>
        <v>100</v>
      </c>
      <c r="X43" s="1557"/>
      <c r="Y43" s="3396"/>
      <c r="Z43" s="1146" t="str">
        <f t="shared" si="13"/>
        <v>宗地开发程度</v>
      </c>
      <c r="AA43" s="1558">
        <f t="shared" si="3"/>
        <v>1</v>
      </c>
      <c r="AB43" s="1558">
        <f t="shared" si="4"/>
        <v>1</v>
      </c>
      <c r="AC43" s="1558">
        <f t="shared" si="5"/>
        <v>1</v>
      </c>
    </row>
    <row r="44" spans="1:29" ht="21" thickBot="1">
      <c r="A44" s="594"/>
      <c r="B44" s="527" t="s">
        <v>555</v>
      </c>
      <c r="C44" s="599" t="s">
        <v>3093</v>
      </c>
      <c r="D44" s="540">
        <v>100</v>
      </c>
      <c r="E44" s="599" t="s">
        <v>3093</v>
      </c>
      <c r="F44" s="540">
        <f>SUMIF(127:127,E44,128:128)-SUMIF(127:127,C44,128:128)+100</f>
        <v>100</v>
      </c>
      <c r="G44" s="599" t="s">
        <v>3093</v>
      </c>
      <c r="H44" s="540">
        <f>SUMIF(127:127,G44,128:128)-SUMIF(127:127,C44,128:128)+100</f>
        <v>100</v>
      </c>
      <c r="I44" s="599" t="s">
        <v>3093</v>
      </c>
      <c r="J44" s="540">
        <f>SUMIF(127:127,I44,128:128)-SUMIF(127:127,C44,128:128)+100</f>
        <v>100</v>
      </c>
      <c r="K44" s="584">
        <v>1</v>
      </c>
      <c r="L44" s="2128"/>
      <c r="M44" s="2118"/>
      <c r="N44" s="2118"/>
      <c r="O44" s="2127"/>
      <c r="P44" s="3396" t="s">
        <v>550</v>
      </c>
      <c r="Q44" s="1559" t="str">
        <f t="shared" si="14"/>
        <v>工程地质条件</v>
      </c>
      <c r="R44" s="1560" t="s">
        <v>8</v>
      </c>
      <c r="S44" s="1561">
        <f t="shared" si="10"/>
        <v>100</v>
      </c>
      <c r="T44" s="1560" t="s">
        <v>8</v>
      </c>
      <c r="U44" s="1561">
        <f t="shared" si="11"/>
        <v>100</v>
      </c>
      <c r="V44" s="1560" t="s">
        <v>8</v>
      </c>
      <c r="W44" s="1561">
        <f t="shared" si="12"/>
        <v>100</v>
      </c>
      <c r="X44" s="1554"/>
      <c r="Y44" s="3396" t="s">
        <v>550</v>
      </c>
      <c r="Z44" s="1562" t="str">
        <f t="shared" si="13"/>
        <v>工程地质条件</v>
      </c>
      <c r="AA44" s="1563">
        <f t="shared" si="3"/>
        <v>1</v>
      </c>
      <c r="AB44" s="1563">
        <f t="shared" si="4"/>
        <v>1</v>
      </c>
      <c r="AC44" s="1563">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396"/>
      <c r="Q45" s="1559">
        <f t="shared" si="14"/>
        <v>111</v>
      </c>
      <c r="R45" s="1560" t="s">
        <v>8</v>
      </c>
      <c r="S45" s="1561">
        <f t="shared" si="10"/>
        <v>100</v>
      </c>
      <c r="T45" s="1560" t="s">
        <v>8</v>
      </c>
      <c r="U45" s="1561">
        <f t="shared" si="11"/>
        <v>100</v>
      </c>
      <c r="V45" s="1560" t="s">
        <v>8</v>
      </c>
      <c r="W45" s="1561">
        <f t="shared" si="12"/>
        <v>100</v>
      </c>
      <c r="X45" s="1554"/>
      <c r="Y45" s="3396"/>
      <c r="Z45" s="1562">
        <f t="shared" si="13"/>
        <v>111</v>
      </c>
      <c r="AA45" s="1563">
        <f t="shared" si="3"/>
        <v>1</v>
      </c>
      <c r="AB45" s="1563">
        <f t="shared" si="4"/>
        <v>1</v>
      </c>
      <c r="AC45" s="1563">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396"/>
      <c r="Q46" s="1559">
        <f t="shared" si="14"/>
        <v>111</v>
      </c>
      <c r="R46" s="1560" t="s">
        <v>8</v>
      </c>
      <c r="S46" s="1561">
        <f t="shared" si="10"/>
        <v>100</v>
      </c>
      <c r="T46" s="1560" t="s">
        <v>8</v>
      </c>
      <c r="U46" s="1561">
        <f t="shared" si="11"/>
        <v>100</v>
      </c>
      <c r="V46" s="1560" t="s">
        <v>8</v>
      </c>
      <c r="W46" s="1561">
        <f t="shared" si="12"/>
        <v>100</v>
      </c>
      <c r="X46" s="1554"/>
      <c r="Y46" s="3396"/>
      <c r="Z46" s="1562">
        <f t="shared" si="13"/>
        <v>111</v>
      </c>
      <c r="AA46" s="1563">
        <f t="shared" si="3"/>
        <v>1</v>
      </c>
      <c r="AB46" s="1563">
        <f t="shared" si="4"/>
        <v>1</v>
      </c>
      <c r="AC46" s="1563">
        <f t="shared" si="5"/>
        <v>1</v>
      </c>
    </row>
    <row r="47" spans="1:29" s="1335"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396"/>
      <c r="Q47" s="1559">
        <f t="shared" si="14"/>
        <v>111</v>
      </c>
      <c r="R47" s="1564" t="s">
        <v>8</v>
      </c>
      <c r="S47" s="1565">
        <f t="shared" si="10"/>
        <v>100</v>
      </c>
      <c r="T47" s="1564" t="s">
        <v>8</v>
      </c>
      <c r="U47" s="1565">
        <f t="shared" si="11"/>
        <v>100</v>
      </c>
      <c r="V47" s="1564" t="s">
        <v>8</v>
      </c>
      <c r="W47" s="1565">
        <f t="shared" si="12"/>
        <v>100</v>
      </c>
      <c r="X47" s="1566"/>
      <c r="Y47" s="3396"/>
      <c r="Z47" s="1567">
        <f t="shared" si="13"/>
        <v>111</v>
      </c>
      <c r="AA47" s="1563">
        <f t="shared" si="3"/>
        <v>1</v>
      </c>
      <c r="AB47" s="1563">
        <f t="shared" si="4"/>
        <v>1</v>
      </c>
      <c r="AC47" s="1563">
        <f t="shared" si="5"/>
        <v>1</v>
      </c>
    </row>
    <row r="48" spans="1:29" ht="20.25">
      <c r="A48" s="607" t="s">
        <v>556</v>
      </c>
      <c r="B48" s="608" t="s">
        <v>3079</v>
      </c>
      <c r="C48" s="609" t="s">
        <v>1</v>
      </c>
      <c r="D48" s="610"/>
      <c r="E48" s="611">
        <f>土地案例!K6</f>
        <v>2230</v>
      </c>
      <c r="F48" s="612"/>
      <c r="G48" s="613">
        <f>土地案例!K7</f>
        <v>2100</v>
      </c>
      <c r="H48" s="614"/>
      <c r="I48" s="611">
        <f>ROUND(土地案例!K8,0)</f>
        <v>2100</v>
      </c>
      <c r="J48" s="614"/>
      <c r="K48" s="1336"/>
      <c r="L48" s="2130"/>
      <c r="M48" s="2118"/>
      <c r="N48" s="2118"/>
      <c r="O48" s="2131"/>
      <c r="P48" s="3359" t="str">
        <f>A48</f>
        <v>成交单价</v>
      </c>
      <c r="Q48" s="3359"/>
      <c r="R48" s="3360">
        <f>E48</f>
        <v>2230</v>
      </c>
      <c r="S48" s="3360"/>
      <c r="T48" s="3360">
        <f>G48</f>
        <v>2100</v>
      </c>
      <c r="U48" s="3360"/>
      <c r="V48" s="3360">
        <f>I48</f>
        <v>2100</v>
      </c>
      <c r="W48" s="3360"/>
      <c r="X48" s="1546"/>
      <c r="Y48" s="1568"/>
      <c r="Z48" s="1546"/>
      <c r="AA48" s="1546"/>
      <c r="AB48" s="1546"/>
      <c r="AC48" s="1546"/>
    </row>
    <row r="49" spans="1:29" ht="21" thickBot="1">
      <c r="A49" s="615" t="s">
        <v>2688</v>
      </c>
      <c r="B49" s="616"/>
      <c r="C49" s="617">
        <f>R50</f>
        <v>2185</v>
      </c>
      <c r="D49" s="618"/>
      <c r="E49" s="617">
        <f>R49</f>
        <v>2254</v>
      </c>
      <c r="F49" s="619"/>
      <c r="G49" s="620">
        <f>T49</f>
        <v>2167</v>
      </c>
      <c r="H49" s="618"/>
      <c r="I49" s="617">
        <f>V49</f>
        <v>2133</v>
      </c>
      <c r="J49" s="618"/>
      <c r="K49" s="1337"/>
      <c r="L49" s="2130"/>
      <c r="M49" s="2118"/>
      <c r="N49" s="2118"/>
      <c r="O49" s="2131"/>
      <c r="P49" s="3359" t="str">
        <f>A49</f>
        <v>比较价格（元/平方米）</v>
      </c>
      <c r="Q49" s="3359"/>
      <c r="R49" s="3361">
        <f>ROUND(PRODUCT(R48,AA9:AA47),0)</f>
        <v>2254</v>
      </c>
      <c r="S49" s="3361"/>
      <c r="T49" s="3361">
        <f>ROUND(PRODUCT(T48,AB9:AB47),0)</f>
        <v>2167</v>
      </c>
      <c r="U49" s="3361"/>
      <c r="V49" s="3361">
        <f>ROUND(PRODUCT(V48,AC9:AC47),0)</f>
        <v>2133</v>
      </c>
      <c r="W49" s="3361"/>
      <c r="X49" s="1546"/>
      <c r="Y49" s="1546"/>
      <c r="Z49" s="1546"/>
      <c r="AA49" s="1546"/>
      <c r="AB49" s="1546"/>
      <c r="AC49" s="1546"/>
    </row>
    <row r="50" spans="1:29" ht="21" thickBot="1">
      <c r="A50" s="621" t="s">
        <v>2931</v>
      </c>
      <c r="B50" s="622"/>
      <c r="C50" s="623">
        <f>R50</f>
        <v>2185</v>
      </c>
      <c r="D50" s="623"/>
      <c r="E50" s="623"/>
      <c r="F50" s="623"/>
      <c r="G50" s="623"/>
      <c r="H50" s="623"/>
      <c r="I50" s="623"/>
      <c r="J50" s="623"/>
      <c r="K50" s="1338"/>
      <c r="L50" s="2130"/>
      <c r="M50" s="2118"/>
      <c r="N50" s="2118"/>
      <c r="O50" s="2131"/>
      <c r="P50" s="3356" t="str">
        <f>A50</f>
        <v>估价对象XX用房的比较价格（楼面单价，元/平方米）</v>
      </c>
      <c r="Q50" s="3357"/>
      <c r="R50" s="3358">
        <f>ROUND(AVERAGE(R49:V49),0)</f>
        <v>2185</v>
      </c>
      <c r="S50" s="3358"/>
      <c r="T50" s="3358"/>
      <c r="U50" s="3358"/>
      <c r="V50" s="3358"/>
      <c r="W50" s="3358"/>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1.0762331838565009E-2</v>
      </c>
      <c r="F53" s="627" t="str">
        <f>IF(OR(E53&gt;=0.3,E53&lt;=-0.3),"超过30%","")</f>
        <v/>
      </c>
      <c r="G53" s="626">
        <f>IF(G48&lt;G49,G49/G48-1,G48/G49-1)</f>
        <v>3.190476190476188E-2</v>
      </c>
      <c r="H53" s="627" t="str">
        <f>IF(OR(G53&gt;=0.3,G53&lt;=-0.3),"超过30%","")</f>
        <v/>
      </c>
      <c r="I53" s="626">
        <f>IF(I48&lt;I49,I49/I48-1,I48/I49-1)</f>
        <v>1.5714285714285792E-2</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4.0147669589293944E-2</v>
      </c>
      <c r="F54" s="627" t="str">
        <f>IF(OR(E54&gt;=0.2,E54&lt;=-0.2),"超过20%","")</f>
        <v/>
      </c>
      <c r="G54" s="626">
        <f>IF(G49&lt;I49,I49/G49-1,G49/I49-1)</f>
        <v>1.5939990623534905E-2</v>
      </c>
      <c r="H54" s="627" t="str">
        <f>IF(OR(G54&gt;=0.2,G54&lt;=-0.2),"超过20%","")</f>
        <v/>
      </c>
      <c r="I54" s="626">
        <f>IF(I49&lt;E49,E49/I49-1,I49/E49-1)</f>
        <v>5.6727613689639078E-2</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6.1904761904761907E-2</v>
      </c>
      <c r="F55" s="627" t="str">
        <f>IF(OR(E55&gt;=0.3,E55&lt;=-0.3),"超过30%","")</f>
        <v/>
      </c>
      <c r="G55" s="626">
        <f>IF(G48&lt;I48,I48/G48-1,G48/I48-1)</f>
        <v>0</v>
      </c>
      <c r="H55" s="627" t="str">
        <f>IF(OR(G55&gt;=0.3,G55&lt;=-0.3),"超过30%","")</f>
        <v/>
      </c>
      <c r="I55" s="626">
        <f>IF(I48&lt;E48,E48/I48-1,I48/E48-1)</f>
        <v>6.1904761904761907E-2</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2290</v>
      </c>
      <c r="E57" s="631" t="s">
        <v>562</v>
      </c>
      <c r="F57" s="632" t="s">
        <v>563</v>
      </c>
      <c r="G57" s="3385" t="s">
        <v>2278</v>
      </c>
      <c r="H57" s="3386"/>
      <c r="I57" s="1542" t="s">
        <v>1722</v>
      </c>
      <c r="J57" s="1542" t="str">
        <f>项目基本情况!F41</f>
        <v>成都市</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2185</v>
      </c>
      <c r="C58" s="635">
        <v>1</v>
      </c>
      <c r="D58" s="2214">
        <v>1</v>
      </c>
      <c r="E58" s="635">
        <f>'数据-汇总表'!E8+'数据-汇总表'!E9</f>
        <v>310119.66000000003</v>
      </c>
      <c r="F58" s="636">
        <f t="shared" ref="F58:F67" si="15">ROUND(B58*E58/10000,0)</f>
        <v>67761</v>
      </c>
      <c r="G58" s="3387"/>
      <c r="H58" s="3388"/>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389" t="s">
        <v>2279</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389"/>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389"/>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389"/>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2325</v>
      </c>
      <c r="B63" s="638">
        <f t="shared" si="17"/>
        <v>0</v>
      </c>
      <c r="C63" s="378">
        <f t="shared" si="16"/>
        <v>0</v>
      </c>
      <c r="D63" s="2215">
        <v>0.25</v>
      </c>
      <c r="E63" s="641">
        <f>'数据-汇总表'!E11</f>
        <v>0</v>
      </c>
      <c r="F63" s="636">
        <f t="shared" si="15"/>
        <v>0</v>
      </c>
      <c r="G63" s="1931" t="s">
        <v>2280</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2279</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2280</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2291</v>
      </c>
      <c r="E68" s="643">
        <f>IF(B48="楼面地价",SUM(E58:E67),'数据-汇总表'!D3)</f>
        <v>310119.66000000003</v>
      </c>
      <c r="F68" s="644">
        <f>IF(B48="楼面地价",SUM(F58:F67),ROUND(C50*E68/10000,0))</f>
        <v>67761</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2020-4-1</v>
      </c>
      <c r="D70" s="2755">
        <f>EDATE(C70,-3)</f>
        <v>43831</v>
      </c>
      <c r="E70" s="2755">
        <f t="shared" ref="E70:N70" si="18">EDATE(D70,-3)</f>
        <v>43739</v>
      </c>
      <c r="F70" s="2755">
        <f t="shared" si="18"/>
        <v>43647</v>
      </c>
      <c r="G70" s="2755">
        <f t="shared" si="18"/>
        <v>43556</v>
      </c>
      <c r="H70" s="2755">
        <f t="shared" si="18"/>
        <v>43466</v>
      </c>
      <c r="I70" s="2755">
        <f t="shared" si="18"/>
        <v>43374</v>
      </c>
      <c r="J70" s="2755">
        <f t="shared" si="18"/>
        <v>43282</v>
      </c>
      <c r="K70" s="2755">
        <f t="shared" si="18"/>
        <v>43191</v>
      </c>
      <c r="L70" s="2755">
        <f t="shared" si="18"/>
        <v>43101</v>
      </c>
      <c r="M70" s="2755">
        <f t="shared" si="18"/>
        <v>43009</v>
      </c>
      <c r="N70" s="2755">
        <f t="shared" si="18"/>
        <v>42917</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2528</v>
      </c>
      <c r="B72" s="2534"/>
      <c r="C72" s="2751" t="str">
        <f>YEAR(C70)&amp;"-"&amp;ROUNDUP(MONTH(C70)/3,0)</f>
        <v>2020-2</v>
      </c>
      <c r="D72" s="2757" t="str">
        <f>YEAR(D70)&amp;"-"&amp;ROUNDUP(MONTH(D70)/3,0)</f>
        <v>2020-1</v>
      </c>
      <c r="E72" s="2757" t="str">
        <f t="shared" ref="E72:N72" si="19">YEAR(E70)&amp;"-"&amp;ROUNDUP(MONTH(E70)/3,0)</f>
        <v>2019-4</v>
      </c>
      <c r="F72" s="2757" t="str">
        <f t="shared" si="19"/>
        <v>2019-3</v>
      </c>
      <c r="G72" s="2757" t="str">
        <f t="shared" si="19"/>
        <v>2019-2</v>
      </c>
      <c r="H72" s="2757" t="str">
        <f t="shared" si="19"/>
        <v>2019-1</v>
      </c>
      <c r="I72" s="2757" t="str">
        <f t="shared" si="19"/>
        <v>2018-4</v>
      </c>
      <c r="J72" s="2757" t="str">
        <f t="shared" si="19"/>
        <v>2018-3</v>
      </c>
      <c r="K72" s="2757" t="str">
        <f t="shared" si="19"/>
        <v>2018-2</v>
      </c>
      <c r="L72" s="2757" t="str">
        <f t="shared" si="19"/>
        <v>2018-1</v>
      </c>
      <c r="M72" s="2757" t="str">
        <f t="shared" si="19"/>
        <v>2017-4</v>
      </c>
      <c r="N72" s="2757" t="str">
        <f t="shared" si="19"/>
        <v>2017-3</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2642</v>
      </c>
      <c r="B73" s="479" t="str">
        <f>"北京市平均增长率"&amp;TEXT(SUMIF(基准地价!N21:N25,A73,基准地价!P21:P25),"0.00%")</f>
        <v>北京市平均增长率0.00%</v>
      </c>
      <c r="C73" s="894">
        <v>100</v>
      </c>
      <c r="D73" s="730">
        <f>C73-0.5</f>
        <v>99.5</v>
      </c>
      <c r="E73" s="730">
        <f t="shared" ref="E73:N73" si="20">D73-0.5</f>
        <v>99</v>
      </c>
      <c r="F73" s="730">
        <f t="shared" si="20"/>
        <v>98.5</v>
      </c>
      <c r="G73" s="730">
        <f t="shared" si="20"/>
        <v>98</v>
      </c>
      <c r="H73" s="730">
        <f t="shared" si="20"/>
        <v>97.5</v>
      </c>
      <c r="I73" s="730">
        <f t="shared" si="20"/>
        <v>97</v>
      </c>
      <c r="J73" s="730">
        <f t="shared" si="20"/>
        <v>96.5</v>
      </c>
      <c r="K73" s="730">
        <f t="shared" si="20"/>
        <v>96</v>
      </c>
      <c r="L73" s="730">
        <f t="shared" si="20"/>
        <v>95.5</v>
      </c>
      <c r="M73" s="730">
        <f t="shared" si="20"/>
        <v>95</v>
      </c>
      <c r="N73" s="730">
        <f t="shared" si="20"/>
        <v>94.5</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2641</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87" t="s">
        <v>3090</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1">D82&amp;"（含）"&amp;"-"&amp;E82</f>
        <v>1（含）-2</v>
      </c>
      <c r="E81" s="682" t="str">
        <f t="shared" si="21"/>
        <v>2（含）-3</v>
      </c>
      <c r="F81" s="682" t="str">
        <f t="shared" si="21"/>
        <v>3（含）-4</v>
      </c>
      <c r="G81" s="682" t="str">
        <f t="shared" si="21"/>
        <v>4（含）-5</v>
      </c>
      <c r="H81" s="682" t="str">
        <f t="shared" si="21"/>
        <v>5（含）-</v>
      </c>
      <c r="I81" s="682" t="str">
        <f t="shared" si="21"/>
        <v>（含）-</v>
      </c>
      <c r="J81" s="682" t="str">
        <f t="shared" si="21"/>
        <v>（含）-</v>
      </c>
      <c r="K81" s="682" t="str">
        <f t="shared" si="21"/>
        <v>（含）-</v>
      </c>
      <c r="L81" s="682" t="str">
        <f t="shared" si="21"/>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v>5</v>
      </c>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98</v>
      </c>
      <c r="E83" s="679">
        <f t="shared" ref="E83:M83" si="22">IF($B$48="单位面积地价",D83+$K13,D83-$K13)</f>
        <v>96</v>
      </c>
      <c r="F83" s="679">
        <f t="shared" si="22"/>
        <v>94</v>
      </c>
      <c r="G83" s="679">
        <f t="shared" si="22"/>
        <v>92</v>
      </c>
      <c r="H83" s="679">
        <f t="shared" si="22"/>
        <v>90</v>
      </c>
      <c r="I83" s="679">
        <f t="shared" si="22"/>
        <v>88</v>
      </c>
      <c r="J83" s="679">
        <f t="shared" si="22"/>
        <v>86</v>
      </c>
      <c r="K83" s="679">
        <f t="shared" si="22"/>
        <v>84</v>
      </c>
      <c r="L83" s="679">
        <f t="shared" si="22"/>
        <v>82</v>
      </c>
      <c r="M83" s="679">
        <f t="shared" si="22"/>
        <v>80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98</v>
      </c>
      <c r="E91" s="679">
        <f>D91-$K17</f>
        <v>96</v>
      </c>
      <c r="F91" s="679">
        <f>E91-$K17</f>
        <v>94</v>
      </c>
      <c r="G91" s="679">
        <f>F91-$K17</f>
        <v>92</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98</v>
      </c>
      <c r="E93" s="679">
        <f>D93-$K19</f>
        <v>96</v>
      </c>
      <c r="F93" s="679">
        <f>E93-$K19</f>
        <v>94</v>
      </c>
      <c r="G93" s="679">
        <f>F93-$K19</f>
        <v>92</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98</v>
      </c>
      <c r="E97" s="679">
        <f>D97-$K23</f>
        <v>96</v>
      </c>
      <c r="F97" s="679">
        <f>E97-$K23</f>
        <v>94</v>
      </c>
      <c r="G97" s="679">
        <f>F97-$K23</f>
        <v>92</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98</v>
      </c>
      <c r="E99" s="679">
        <f>D99-$K25</f>
        <v>96</v>
      </c>
      <c r="F99" s="679">
        <f>E99-$K25</f>
        <v>94</v>
      </c>
      <c r="G99" s="679">
        <f>F99-$K25</f>
        <v>92</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2544</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2546</v>
      </c>
      <c r="C104" s="2563" t="s">
        <v>2547</v>
      </c>
      <c r="D104" s="2563" t="s">
        <v>2548</v>
      </c>
      <c r="E104" s="2563" t="s">
        <v>2549</v>
      </c>
      <c r="F104" s="2563" t="s">
        <v>2550</v>
      </c>
      <c r="G104" s="2563" t="s">
        <v>2551</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688"/>
      <c r="D108" s="688"/>
      <c r="E108" s="688"/>
      <c r="F108" s="688"/>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4">D109-$K34</f>
        <v>100</v>
      </c>
      <c r="F109" s="679">
        <f t="shared" si="24"/>
        <v>100</v>
      </c>
      <c r="G109" s="679">
        <f t="shared" si="24"/>
        <v>100</v>
      </c>
      <c r="H109" s="679">
        <f t="shared" si="24"/>
        <v>100</v>
      </c>
      <c r="I109" s="679">
        <f t="shared" si="24"/>
        <v>100</v>
      </c>
      <c r="J109" s="679">
        <f t="shared" si="24"/>
        <v>100</v>
      </c>
      <c r="K109" s="679">
        <f t="shared" si="24"/>
        <v>100</v>
      </c>
      <c r="L109" s="679">
        <f t="shared" si="24"/>
        <v>100</v>
      </c>
      <c r="M109" s="679">
        <f t="shared" si="24"/>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6">C119&amp;"(含)"&amp;"-"&amp;D119</f>
        <v>0(含)-50000</v>
      </c>
      <c r="D118" s="704" t="str">
        <f t="shared" si="26"/>
        <v>50000(含)-100000</v>
      </c>
      <c r="E118" s="704" t="str">
        <f t="shared" si="26"/>
        <v>100000(含)-150000</v>
      </c>
      <c r="F118" s="704" t="str">
        <f t="shared" si="26"/>
        <v>150000(含)-200000</v>
      </c>
      <c r="G118" s="704" t="str">
        <f t="shared" si="26"/>
        <v>200000(含)-</v>
      </c>
      <c r="H118" s="704" t="str">
        <f t="shared" si="26"/>
        <v>(含)-</v>
      </c>
      <c r="I118" s="704" t="str">
        <f t="shared" si="26"/>
        <v>(含)-</v>
      </c>
      <c r="J118" s="3045" t="str">
        <f t="shared" si="26"/>
        <v>(含)-</v>
      </c>
      <c r="K118" s="3045" t="str">
        <f t="shared" si="26"/>
        <v>(含)-</v>
      </c>
      <c r="L118" s="3046" t="str">
        <f t="shared" si="26"/>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v>0</v>
      </c>
      <c r="D119" s="730">
        <v>50000</v>
      </c>
      <c r="E119" s="730">
        <v>100000</v>
      </c>
      <c r="F119" s="730">
        <v>150000</v>
      </c>
      <c r="G119" s="730">
        <v>200000</v>
      </c>
      <c r="H119" s="730"/>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96</v>
      </c>
      <c r="D120" s="726">
        <v>98</v>
      </c>
      <c r="E120" s="726">
        <v>100</v>
      </c>
      <c r="F120" s="726">
        <v>98</v>
      </c>
      <c r="G120" s="726">
        <v>96</v>
      </c>
      <c r="H120" s="726"/>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3188" t="s">
        <v>3095</v>
      </c>
      <c r="D121" s="3188" t="s">
        <v>3097</v>
      </c>
      <c r="E121" s="3188" t="s">
        <v>3098</v>
      </c>
      <c r="F121" s="3188" t="s">
        <v>3099</v>
      </c>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7">C122-$K41</f>
        <v>99</v>
      </c>
      <c r="E122" s="679">
        <f t="shared" si="27"/>
        <v>98</v>
      </c>
      <c r="F122" s="679">
        <f t="shared" si="27"/>
        <v>97</v>
      </c>
      <c r="G122" s="679">
        <f t="shared" si="27"/>
        <v>96</v>
      </c>
      <c r="H122" s="679">
        <f t="shared" si="27"/>
        <v>95</v>
      </c>
      <c r="I122" s="679">
        <f t="shared" si="27"/>
        <v>94</v>
      </c>
      <c r="J122" s="679">
        <f t="shared" si="27"/>
        <v>93</v>
      </c>
      <c r="K122" s="679">
        <f t="shared" si="27"/>
        <v>92</v>
      </c>
      <c r="L122" s="679">
        <f t="shared" si="27"/>
        <v>91</v>
      </c>
      <c r="M122" s="680">
        <f t="shared" si="27"/>
        <v>90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3189" t="s">
        <v>3100</v>
      </c>
      <c r="D123" s="3189" t="s">
        <v>3102</v>
      </c>
      <c r="E123" s="3189" t="s">
        <v>3103</v>
      </c>
      <c r="F123" s="3188" t="s">
        <v>3104</v>
      </c>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8">C124-$K42</f>
        <v>99</v>
      </c>
      <c r="E124" s="679">
        <f t="shared" si="28"/>
        <v>98</v>
      </c>
      <c r="F124" s="679">
        <f t="shared" si="28"/>
        <v>97</v>
      </c>
      <c r="G124" s="679">
        <f t="shared" si="28"/>
        <v>96</v>
      </c>
      <c r="H124" s="679">
        <f t="shared" si="28"/>
        <v>95</v>
      </c>
      <c r="I124" s="679">
        <f t="shared" si="28"/>
        <v>94</v>
      </c>
      <c r="J124" s="679">
        <f t="shared" si="28"/>
        <v>93</v>
      </c>
      <c r="K124" s="679">
        <f t="shared" si="28"/>
        <v>92</v>
      </c>
      <c r="L124" s="679">
        <f t="shared" si="28"/>
        <v>91</v>
      </c>
      <c r="M124" s="680">
        <f t="shared" si="28"/>
        <v>90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2422</v>
      </c>
      <c r="C125" s="1372" t="s">
        <v>3105</v>
      </c>
      <c r="D125" s="1372" t="s">
        <v>3106</v>
      </c>
      <c r="E125" s="1372" t="s">
        <v>3107</v>
      </c>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99</v>
      </c>
      <c r="E126" s="679">
        <f t="shared" ref="E126:M126" si="29">D126-$K43</f>
        <v>98</v>
      </c>
      <c r="F126" s="679">
        <f t="shared" si="29"/>
        <v>97</v>
      </c>
      <c r="G126" s="679">
        <f t="shared" si="29"/>
        <v>96</v>
      </c>
      <c r="H126" s="679">
        <f t="shared" si="29"/>
        <v>95</v>
      </c>
      <c r="I126" s="679">
        <f t="shared" si="29"/>
        <v>94</v>
      </c>
      <c r="J126" s="679">
        <f t="shared" si="29"/>
        <v>93</v>
      </c>
      <c r="K126" s="679">
        <f t="shared" si="29"/>
        <v>92</v>
      </c>
      <c r="L126" s="679">
        <f t="shared" si="29"/>
        <v>91</v>
      </c>
      <c r="M126" s="680">
        <f t="shared" si="29"/>
        <v>90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3189" t="s">
        <v>3108</v>
      </c>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30">C128-$K44</f>
        <v>99</v>
      </c>
      <c r="E128" s="679">
        <f t="shared" si="30"/>
        <v>98</v>
      </c>
      <c r="F128" s="679">
        <f t="shared" si="30"/>
        <v>97</v>
      </c>
      <c r="G128" s="679">
        <f t="shared" si="30"/>
        <v>96</v>
      </c>
      <c r="H128" s="679">
        <f t="shared" si="30"/>
        <v>95</v>
      </c>
      <c r="I128" s="679">
        <f t="shared" si="30"/>
        <v>94</v>
      </c>
      <c r="J128" s="679">
        <f t="shared" si="30"/>
        <v>93</v>
      </c>
      <c r="K128" s="679">
        <f t="shared" si="30"/>
        <v>92</v>
      </c>
      <c r="L128" s="679">
        <f t="shared" si="30"/>
        <v>91</v>
      </c>
      <c r="M128" s="680">
        <f t="shared" si="30"/>
        <v>90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M16"/>
  <sheetViews>
    <sheetView topLeftCell="A4" workbookViewId="0">
      <selection activeCell="B21" sqref="B21"/>
    </sheetView>
  </sheetViews>
  <sheetFormatPr defaultRowHeight="13.5"/>
  <cols>
    <col min="1" max="1" width="15.375" customWidth="1"/>
  </cols>
  <sheetData>
    <row r="1" spans="1:13">
      <c r="A1" s="3184" t="s">
        <v>3020</v>
      </c>
      <c r="B1" s="3184" t="s">
        <v>3021</v>
      </c>
      <c r="C1" s="3184" t="s">
        <v>3022</v>
      </c>
      <c r="D1" s="3184" t="s">
        <v>3023</v>
      </c>
      <c r="E1" s="3184" t="s">
        <v>3024</v>
      </c>
      <c r="F1" s="3184" t="s">
        <v>2029</v>
      </c>
      <c r="G1" s="3184" t="s">
        <v>3025</v>
      </c>
      <c r="H1" s="3184" t="s">
        <v>3026</v>
      </c>
      <c r="I1" s="3184" t="s">
        <v>3027</v>
      </c>
      <c r="J1" s="3184" t="s">
        <v>3028</v>
      </c>
      <c r="K1" s="3184" t="s">
        <v>3029</v>
      </c>
      <c r="L1" s="3184" t="s">
        <v>3030</v>
      </c>
      <c r="M1" s="3184" t="s">
        <v>3031</v>
      </c>
    </row>
    <row r="2" spans="1:13">
      <c r="A2" s="3184" t="s">
        <v>3032</v>
      </c>
      <c r="B2" s="3184" t="s">
        <v>2996</v>
      </c>
      <c r="C2" s="3184" t="s">
        <v>3033</v>
      </c>
      <c r="D2" s="3184">
        <v>26945.86</v>
      </c>
      <c r="E2" s="3184">
        <v>53891.72</v>
      </c>
      <c r="F2" s="3184" t="s">
        <v>3034</v>
      </c>
      <c r="G2" s="3184" t="s">
        <v>3035</v>
      </c>
      <c r="H2" s="3184" t="s">
        <v>3036</v>
      </c>
      <c r="I2" s="3184">
        <v>9700.51</v>
      </c>
      <c r="J2" s="3184">
        <v>9700.51</v>
      </c>
      <c r="K2" s="3184">
        <v>1800</v>
      </c>
      <c r="L2" s="3184">
        <v>0</v>
      </c>
      <c r="M2" s="3184" t="s">
        <v>3037</v>
      </c>
    </row>
    <row r="3" spans="1:13">
      <c r="A3" s="3184" t="s">
        <v>3038</v>
      </c>
      <c r="B3" s="3184" t="s">
        <v>2996</v>
      </c>
      <c r="C3" s="3184" t="s">
        <v>3033</v>
      </c>
      <c r="D3" s="3184">
        <v>30643.27</v>
      </c>
      <c r="E3" s="3184">
        <v>61286.54</v>
      </c>
      <c r="F3" s="3184" t="s">
        <v>3039</v>
      </c>
      <c r="G3" s="3184" t="s">
        <v>3035</v>
      </c>
      <c r="H3" s="3184" t="s">
        <v>3036</v>
      </c>
      <c r="I3" s="3184">
        <v>11031.57</v>
      </c>
      <c r="J3" s="3184">
        <v>11031.57</v>
      </c>
      <c r="K3" s="3184">
        <v>1800</v>
      </c>
      <c r="L3" s="3184">
        <v>0</v>
      </c>
      <c r="M3" s="3184" t="s">
        <v>3037</v>
      </c>
    </row>
    <row r="4" spans="1:13">
      <c r="A4" s="3184" t="s">
        <v>3040</v>
      </c>
      <c r="B4" s="3184" t="s">
        <v>2996</v>
      </c>
      <c r="C4" s="3184" t="s">
        <v>3033</v>
      </c>
      <c r="D4" s="3184">
        <v>35982.410000000003</v>
      </c>
      <c r="E4" s="3184">
        <v>71964.820000000007</v>
      </c>
      <c r="F4" s="3184" t="s">
        <v>3041</v>
      </c>
      <c r="G4" s="3184" t="s">
        <v>3035</v>
      </c>
      <c r="H4" s="3184" t="s">
        <v>3036</v>
      </c>
      <c r="I4" s="3184">
        <v>12953.67</v>
      </c>
      <c r="J4" s="3184">
        <v>12953.67</v>
      </c>
      <c r="K4" s="3184">
        <v>1800</v>
      </c>
      <c r="L4" s="3184">
        <v>0</v>
      </c>
      <c r="M4" s="3184" t="s">
        <v>3037</v>
      </c>
    </row>
    <row r="5" spans="1:13">
      <c r="A5" s="3184" t="s">
        <v>3042</v>
      </c>
      <c r="B5" s="3184" t="s">
        <v>2996</v>
      </c>
      <c r="C5" s="3184" t="s">
        <v>3033</v>
      </c>
      <c r="D5" s="3184">
        <v>37771.870000000003</v>
      </c>
      <c r="E5" s="3184">
        <v>75543</v>
      </c>
      <c r="F5" s="3184" t="s">
        <v>3043</v>
      </c>
      <c r="G5" s="3184" t="s">
        <v>3035</v>
      </c>
      <c r="H5" s="3184" t="s">
        <v>3044</v>
      </c>
      <c r="I5" s="3184">
        <v>24778.09</v>
      </c>
      <c r="J5" s="3184">
        <v>24778.09</v>
      </c>
      <c r="K5" s="3184">
        <v>3280</v>
      </c>
      <c r="L5" s="3184">
        <v>0</v>
      </c>
      <c r="M5" s="3184" t="s">
        <v>3045</v>
      </c>
    </row>
    <row r="6" spans="1:13" s="3186" customFormat="1">
      <c r="A6" s="3185" t="s">
        <v>3046</v>
      </c>
      <c r="B6" s="3185" t="s">
        <v>2996</v>
      </c>
      <c r="C6" s="3185" t="s">
        <v>3033</v>
      </c>
      <c r="D6" s="3185">
        <v>69994.86</v>
      </c>
      <c r="E6" s="3185">
        <v>174987</v>
      </c>
      <c r="F6" s="3185" t="s">
        <v>3047</v>
      </c>
      <c r="G6" s="3185" t="s">
        <v>3035</v>
      </c>
      <c r="H6" s="3185" t="s">
        <v>3048</v>
      </c>
      <c r="I6" s="3185">
        <v>36747.26</v>
      </c>
      <c r="J6" s="3185">
        <v>39022.089999999997</v>
      </c>
      <c r="K6" s="3185">
        <v>2230</v>
      </c>
      <c r="L6" s="3185">
        <v>6.19</v>
      </c>
      <c r="M6" s="3185" t="s">
        <v>3049</v>
      </c>
    </row>
    <row r="7" spans="1:13" s="3186" customFormat="1">
      <c r="A7" s="3185" t="s">
        <v>3050</v>
      </c>
      <c r="B7" s="3185" t="s">
        <v>2996</v>
      </c>
      <c r="C7" s="3185" t="s">
        <v>3033</v>
      </c>
      <c r="D7" s="3185">
        <v>24097.19</v>
      </c>
      <c r="E7" s="3185">
        <v>60242</v>
      </c>
      <c r="F7" s="3185" t="s">
        <v>3051</v>
      </c>
      <c r="G7" s="3185" t="s">
        <v>3035</v>
      </c>
      <c r="H7" s="3185" t="s">
        <v>3052</v>
      </c>
      <c r="I7" s="3185">
        <v>12650.81</v>
      </c>
      <c r="J7" s="3185">
        <v>12650.81</v>
      </c>
      <c r="K7" s="3185">
        <v>2100</v>
      </c>
      <c r="L7" s="3185">
        <v>0</v>
      </c>
      <c r="M7" s="3185" t="s">
        <v>3049</v>
      </c>
    </row>
    <row r="8" spans="1:13" s="3186" customFormat="1">
      <c r="A8" s="3185" t="s">
        <v>3053</v>
      </c>
      <c r="B8" s="3185" t="s">
        <v>2996</v>
      </c>
      <c r="C8" s="3185" t="s">
        <v>3054</v>
      </c>
      <c r="D8" s="3185">
        <v>69999.600000000006</v>
      </c>
      <c r="E8" s="3185">
        <v>139999.20000000001</v>
      </c>
      <c r="F8" s="3185" t="s">
        <v>3055</v>
      </c>
      <c r="G8" s="3185" t="s">
        <v>3035</v>
      </c>
      <c r="H8" s="3185" t="s">
        <v>3056</v>
      </c>
      <c r="I8" s="3185">
        <v>29400</v>
      </c>
      <c r="J8" s="3185">
        <v>29400</v>
      </c>
      <c r="K8" s="3185">
        <v>2100.0100000000002</v>
      </c>
      <c r="L8" s="3185">
        <v>0</v>
      </c>
      <c r="M8" s="3185" t="s">
        <v>3057</v>
      </c>
    </row>
    <row r="9" spans="1:13">
      <c r="A9" s="3184" t="s">
        <v>3058</v>
      </c>
      <c r="B9" s="3184" t="s">
        <v>2996</v>
      </c>
      <c r="C9" s="3184" t="s">
        <v>3054</v>
      </c>
      <c r="D9" s="3184">
        <v>55900.21</v>
      </c>
      <c r="E9" s="3184">
        <v>125775.47</v>
      </c>
      <c r="F9" s="3184" t="s">
        <v>3059</v>
      </c>
      <c r="G9" s="3184" t="s">
        <v>3035</v>
      </c>
      <c r="H9" s="3184" t="s">
        <v>3060</v>
      </c>
      <c r="I9" s="3184">
        <v>37732.5</v>
      </c>
      <c r="J9" s="3184">
        <v>37732.5</v>
      </c>
      <c r="K9" s="3184">
        <v>2999.98</v>
      </c>
      <c r="L9" s="3184">
        <v>0</v>
      </c>
      <c r="M9" s="3184" t="s">
        <v>3061</v>
      </c>
    </row>
    <row r="10" spans="1:13">
      <c r="A10" s="3184" t="s">
        <v>3062</v>
      </c>
      <c r="B10" s="3184" t="s">
        <v>2996</v>
      </c>
      <c r="C10" s="3184" t="s">
        <v>3054</v>
      </c>
      <c r="D10" s="3184">
        <v>65536.63</v>
      </c>
      <c r="E10" s="3184">
        <v>147457.42000000001</v>
      </c>
      <c r="F10" s="3184" t="s">
        <v>3059</v>
      </c>
      <c r="G10" s="3184" t="s">
        <v>3035</v>
      </c>
      <c r="H10" s="3184" t="s">
        <v>3060</v>
      </c>
      <c r="I10" s="3184">
        <v>44237.09</v>
      </c>
      <c r="J10" s="3184">
        <v>44237.09</v>
      </c>
      <c r="K10" s="3184">
        <v>2999.98</v>
      </c>
      <c r="L10" s="3184">
        <v>0</v>
      </c>
      <c r="M10" s="3184" t="s">
        <v>3049</v>
      </c>
    </row>
    <row r="11" spans="1:13">
      <c r="A11" s="3184" t="s">
        <v>3063</v>
      </c>
      <c r="B11" s="3184" t="s">
        <v>2996</v>
      </c>
      <c r="C11" s="3184" t="s">
        <v>3033</v>
      </c>
      <c r="D11" s="3184">
        <v>74926.91</v>
      </c>
      <c r="E11" s="3184">
        <v>149853</v>
      </c>
      <c r="F11" s="3184" t="s">
        <v>3043</v>
      </c>
      <c r="G11" s="3184" t="s">
        <v>3035</v>
      </c>
      <c r="H11" s="3184" t="s">
        <v>3064</v>
      </c>
      <c r="I11" s="3184">
        <v>44955.9</v>
      </c>
      <c r="J11" s="3184">
        <v>44955.9</v>
      </c>
      <c r="K11" s="3184">
        <v>3000</v>
      </c>
      <c r="L11" s="3184">
        <v>0</v>
      </c>
      <c r="M11" s="3184" t="s">
        <v>3061</v>
      </c>
    </row>
    <row r="12" spans="1:13">
      <c r="A12" s="3184" t="s">
        <v>3065</v>
      </c>
      <c r="B12" s="3184" t="s">
        <v>2996</v>
      </c>
      <c r="C12" s="3184" t="s">
        <v>3033</v>
      </c>
      <c r="D12" s="3184">
        <v>80158.070000000007</v>
      </c>
      <c r="E12" s="3184">
        <v>176347</v>
      </c>
      <c r="F12" s="3184" t="s">
        <v>3066</v>
      </c>
      <c r="G12" s="3184" t="s">
        <v>3035</v>
      </c>
      <c r="H12" s="3184" t="s">
        <v>3067</v>
      </c>
      <c r="I12" s="3184">
        <v>49377.16</v>
      </c>
      <c r="J12" s="3184">
        <v>49377.16</v>
      </c>
      <c r="K12" s="3184">
        <v>2800</v>
      </c>
      <c r="L12" s="3184">
        <v>0</v>
      </c>
      <c r="M12" s="3184" t="s">
        <v>3068</v>
      </c>
    </row>
    <row r="13" spans="1:13">
      <c r="A13" s="3184" t="s">
        <v>3069</v>
      </c>
      <c r="B13" s="3184" t="s">
        <v>2996</v>
      </c>
      <c r="C13" s="3184" t="s">
        <v>3033</v>
      </c>
      <c r="D13" s="3184">
        <v>31050.62</v>
      </c>
      <c r="E13" s="3184">
        <v>68311</v>
      </c>
      <c r="F13" s="3184" t="s">
        <v>3066</v>
      </c>
      <c r="G13" s="3184" t="s">
        <v>3035</v>
      </c>
      <c r="H13" s="3184" t="s">
        <v>3067</v>
      </c>
      <c r="I13" s="3184">
        <v>19127.080000000002</v>
      </c>
      <c r="J13" s="3184">
        <v>19127.080000000002</v>
      </c>
      <c r="K13" s="3184">
        <v>2800</v>
      </c>
      <c r="L13" s="3184">
        <v>0</v>
      </c>
      <c r="M13" s="3184" t="s">
        <v>3068</v>
      </c>
    </row>
    <row r="14" spans="1:13">
      <c r="A14" s="3184" t="s">
        <v>3070</v>
      </c>
      <c r="B14" s="3184" t="s">
        <v>2996</v>
      </c>
      <c r="C14" s="3184" t="s">
        <v>3033</v>
      </c>
      <c r="D14" s="3184">
        <v>52130.559999999998</v>
      </c>
      <c r="E14" s="3184">
        <v>104261.1</v>
      </c>
      <c r="F14" s="3184" t="s">
        <v>3071</v>
      </c>
      <c r="G14" s="3184" t="s">
        <v>3035</v>
      </c>
      <c r="H14" s="3184" t="s">
        <v>3072</v>
      </c>
      <c r="I14" s="3184">
        <v>32844</v>
      </c>
      <c r="J14" s="3184">
        <v>33626</v>
      </c>
      <c r="K14" s="3184">
        <v>3225.17</v>
      </c>
      <c r="L14" s="3184">
        <v>2.38</v>
      </c>
      <c r="M14" s="3184" t="s">
        <v>3073</v>
      </c>
    </row>
    <row r="15" spans="1:13">
      <c r="A15" s="3184" t="s">
        <v>3074</v>
      </c>
      <c r="B15" s="3184" t="s">
        <v>2996</v>
      </c>
      <c r="C15" s="3184" t="s">
        <v>3033</v>
      </c>
      <c r="D15" s="3184">
        <v>26400.57</v>
      </c>
      <c r="E15" s="3184">
        <v>66001.429999999993</v>
      </c>
      <c r="F15" s="3184" t="s">
        <v>3075</v>
      </c>
      <c r="G15" s="3184" t="s">
        <v>3035</v>
      </c>
      <c r="H15" s="3184" t="s">
        <v>3072</v>
      </c>
      <c r="I15" s="3184">
        <v>16632</v>
      </c>
      <c r="J15" s="3184">
        <v>19800</v>
      </c>
      <c r="K15" s="3184">
        <v>2999.94</v>
      </c>
      <c r="L15" s="3184">
        <v>19.05</v>
      </c>
      <c r="M15" s="3184" t="s">
        <v>3076</v>
      </c>
    </row>
    <row r="16" spans="1:13">
      <c r="A16" s="3184" t="s">
        <v>3077</v>
      </c>
      <c r="B16" s="3184" t="s">
        <v>2996</v>
      </c>
      <c r="C16" s="3184" t="s">
        <v>3033</v>
      </c>
      <c r="D16" s="3184">
        <v>31641.64</v>
      </c>
      <c r="E16" s="3184">
        <v>79104.100000000006</v>
      </c>
      <c r="F16" s="3184" t="s">
        <v>3075</v>
      </c>
      <c r="G16" s="3184" t="s">
        <v>3035</v>
      </c>
      <c r="H16" s="3184" t="s">
        <v>3072</v>
      </c>
      <c r="I16" s="3184">
        <v>19933.2</v>
      </c>
      <c r="J16" s="3184">
        <v>23255.4</v>
      </c>
      <c r="K16" s="3184">
        <v>2939.84</v>
      </c>
      <c r="L16" s="3184">
        <v>16.670000000000002</v>
      </c>
      <c r="M16" s="3184" t="s">
        <v>3078</v>
      </c>
    </row>
  </sheetData>
  <phoneticPr fontId="228"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B3" sqref="B3"/>
    </sheetView>
  </sheetViews>
  <sheetFormatPr defaultColWidth="6.625" defaultRowHeight="12.75"/>
  <cols>
    <col min="1" max="1" width="9.875" style="2110" customWidth="1"/>
    <col min="2" max="2" width="25.8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c r="C1" s="2090"/>
      <c r="D1" s="2090"/>
      <c r="E1" s="2090"/>
      <c r="F1" s="2090"/>
      <c r="G1" s="2090"/>
      <c r="H1" s="2090"/>
      <c r="I1" s="2090"/>
      <c r="J1" s="2090"/>
      <c r="K1" s="422">
        <f>MATCH(B1,'数据-取费表'!A6:A16,0)+5</f>
        <v>8</v>
      </c>
    </row>
    <row r="2" spans="1:31" s="2027" customFormat="1" ht="18" customHeight="1">
      <c r="A2" s="2087" t="s">
        <v>467</v>
      </c>
      <c r="B2" s="2091">
        <f ca="1">C36</f>
        <v>58365</v>
      </c>
      <c r="C2" s="2090"/>
      <c r="D2" s="2090"/>
      <c r="E2" s="2090"/>
      <c r="F2" s="2090"/>
      <c r="G2" s="2090"/>
      <c r="H2" s="2090"/>
      <c r="I2" s="2090"/>
      <c r="J2" s="2090"/>
      <c r="K2" s="2090"/>
    </row>
    <row r="3" spans="1:31" s="2027" customFormat="1" ht="18" customHeight="1">
      <c r="A3" s="2092" t="s">
        <v>1684</v>
      </c>
      <c r="B3" s="2093">
        <f ca="1">ROUND(B2*10000/IF(B1="",'数据-汇总表'!E3,INDIRECT("'数据-取费表'!K"&amp;$K$1)),0)</f>
        <v>1882</v>
      </c>
      <c r="C3" s="2090"/>
      <c r="D3" s="2090"/>
      <c r="E3" s="2090"/>
      <c r="F3" s="2090"/>
      <c r="G3" s="2090"/>
      <c r="H3" s="2090"/>
      <c r="I3" s="2090"/>
      <c r="J3" s="2090"/>
      <c r="K3" s="2090"/>
    </row>
    <row r="4" spans="1:31" s="2027" customFormat="1" ht="18" customHeight="1">
      <c r="A4" s="426" t="s">
        <v>468</v>
      </c>
      <c r="B4" s="427">
        <f ca="1">ROUND(B2*10000/IF(B1="",'数据-汇总表'!D3,INDIRECT("'数据-取费表'!R"&amp;$K$1)),0)</f>
        <v>5646</v>
      </c>
      <c r="C4" s="428"/>
      <c r="D4" s="422"/>
      <c r="E4" s="422"/>
      <c r="F4" s="422"/>
      <c r="G4" s="422"/>
      <c r="H4" s="422"/>
      <c r="I4" s="422"/>
      <c r="J4" s="422"/>
      <c r="K4" s="422"/>
    </row>
    <row r="5" spans="1:31" s="2027" customFormat="1" ht="18" customHeight="1" thickBot="1">
      <c r="A5" s="429"/>
      <c r="B5" s="430">
        <f ca="1">ROUND(B2/(IF(B1="",'数据-汇总表'!D3,INDIRECT("'数据-取费表'!R"&amp;$K$1))/666.67),0)</f>
        <v>376</v>
      </c>
      <c r="C5" s="431" t="s">
        <v>469</v>
      </c>
      <c r="D5" s="422"/>
      <c r="E5" s="422"/>
      <c r="F5" s="422"/>
      <c r="G5" s="422"/>
      <c r="H5" s="422"/>
      <c r="I5" s="422"/>
      <c r="J5" s="422"/>
      <c r="K5" s="422"/>
    </row>
    <row r="6" spans="1:31" s="2097" customFormat="1" ht="16.5" customHeight="1">
      <c r="A6" s="2784" t="s">
        <v>1842</v>
      </c>
      <c r="B6" s="2785"/>
      <c r="C6" s="2786">
        <f ca="1">SUM(C10:K10)</f>
        <v>203977</v>
      </c>
      <c r="D6" s="2785"/>
      <c r="E6" s="2785"/>
      <c r="F6" s="2785"/>
      <c r="G6" s="2785"/>
      <c r="H6" s="2785"/>
      <c r="I6" s="2785"/>
      <c r="J6" s="2785"/>
      <c r="K6" s="2787"/>
    </row>
    <row r="7" spans="1:31" s="2099" customFormat="1" ht="15">
      <c r="A7" s="2788" t="s">
        <v>470</v>
      </c>
      <c r="B7" s="2789" t="s">
        <v>471</v>
      </c>
      <c r="C7" s="436" t="s">
        <v>923</v>
      </c>
      <c r="D7" s="436" t="s">
        <v>3000</v>
      </c>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f>'不动产比较法-住宅'!B3</f>
        <v>6467</v>
      </c>
      <c r="D8" s="2790">
        <f ca="1">不动产收益法!B3</f>
        <v>7203</v>
      </c>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263601.71000000002</v>
      </c>
      <c r="D9" s="441">
        <f>SUMIF('数据-汇总表'!$C19:$C33,'剩余法-待开发'!D7,'数据-汇总表'!$E19:$E33)</f>
        <v>46517.95</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'不动产比较法-住宅'!B2</f>
        <v>170471</v>
      </c>
      <c r="D10" s="2982">
        <f ca="1">不动产收益法!B2</f>
        <v>33506</v>
      </c>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77529</v>
      </c>
      <c r="D13" s="2800"/>
      <c r="E13" s="2801"/>
      <c r="F13" s="2802"/>
      <c r="G13" s="2768"/>
      <c r="H13" s="2769"/>
      <c r="I13" s="2769"/>
      <c r="J13" s="2769"/>
      <c r="K13" s="2770"/>
    </row>
    <row r="14" spans="1:31" s="2102" customFormat="1" ht="13.5" customHeight="1">
      <c r="A14" s="2798" t="s">
        <v>1849</v>
      </c>
      <c r="B14" s="2799" t="s">
        <v>480</v>
      </c>
      <c r="C14" s="53">
        <f ca="1">ROUND(C13*F14,0)</f>
        <v>2326</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1977</v>
      </c>
      <c r="D15" s="2800"/>
      <c r="E15" s="2801"/>
      <c r="F15" s="2803">
        <f>'数据-取费表'!B34</f>
        <v>0.03</v>
      </c>
      <c r="G15" s="2768" t="s">
        <v>483</v>
      </c>
      <c r="H15" s="2769"/>
      <c r="I15" s="2769"/>
      <c r="J15" s="2769"/>
      <c r="K15" s="2770"/>
    </row>
    <row r="16" spans="1:31" s="2103" customFormat="1" ht="13.5" customHeight="1">
      <c r="A16" s="2798" t="s">
        <v>1851</v>
      </c>
      <c r="B16" s="2799" t="s">
        <v>484</v>
      </c>
      <c r="C16" s="53">
        <f ca="1">ROUND(D16*E16/10000,0)</f>
        <v>6202</v>
      </c>
      <c r="D16" s="2800">
        <f ca="1">IF(B1="",'数据-汇总表'!E3,INDIRECT("'数据-取费表'!K"&amp;$K$1)+INDIRECT("'数据-取费表'!S"&amp;$K$1))</f>
        <v>310119.66000000003</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1163</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89197</v>
      </c>
      <c r="D18" s="2809"/>
      <c r="E18" s="468"/>
      <c r="F18" s="468"/>
      <c r="G18" s="2772" t="s">
        <v>2427</v>
      </c>
      <c r="H18" s="2773"/>
      <c r="I18" s="2773"/>
      <c r="J18" s="2773"/>
      <c r="K18" s="2774"/>
    </row>
    <row r="19" spans="1:14" s="2102" customFormat="1" ht="13.5" customHeight="1">
      <c r="A19" s="2806" t="s">
        <v>1854</v>
      </c>
      <c r="B19" s="2807" t="s">
        <v>488</v>
      </c>
      <c r="C19" s="2764">
        <f ca="1">ROUND(D19*E19/10000,0)</f>
        <v>0</v>
      </c>
      <c r="D19" s="2810">
        <f ca="1">D16</f>
        <v>310119.66000000003</v>
      </c>
      <c r="E19" s="2764">
        <f>'数据-取费表'!B32</f>
        <v>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3721</v>
      </c>
      <c r="D20" s="2810"/>
      <c r="E20" s="2764"/>
      <c r="F20" s="2811"/>
      <c r="G20" s="3041"/>
      <c r="H20" s="2766"/>
      <c r="I20" s="2767" t="s">
        <v>2646</v>
      </c>
      <c r="J20" s="2773"/>
      <c r="K20" s="2774"/>
    </row>
    <row r="21" spans="1:14" s="2102" customFormat="1" ht="13.5" customHeight="1">
      <c r="A21" s="2798" t="s">
        <v>1856</v>
      </c>
      <c r="B21" s="2799" t="s">
        <v>491</v>
      </c>
      <c r="C21" s="53">
        <f ca="1">ROUND(D21*E21/10000,0)</f>
        <v>3163</v>
      </c>
      <c r="D21" s="2800">
        <f ca="1">IF(B1="",'数据-汇总表'!E5,IF(INDIRECT("'数据-取费表'!c"&amp;$K$1)="住宅",INDIRECT("'数据-取费表'!k"&amp;$K$1),0))</f>
        <v>263601.71000000002</v>
      </c>
      <c r="E21" s="53">
        <f>'数据-取费表'!B27</f>
        <v>120</v>
      </c>
      <c r="F21" s="2803"/>
      <c r="G21" s="26"/>
      <c r="H21" s="51"/>
      <c r="I21" s="51"/>
      <c r="J21" s="51"/>
      <c r="K21" s="2775"/>
    </row>
    <row r="22" spans="1:14" s="2102" customFormat="1" ht="13.5" customHeight="1">
      <c r="A22" s="2798" t="s">
        <v>1857</v>
      </c>
      <c r="B22" s="2799" t="s">
        <v>492</v>
      </c>
      <c r="C22" s="53">
        <f ca="1">ROUND(D22*E22/10000,0)</f>
        <v>558</v>
      </c>
      <c r="D22" s="2800">
        <f ca="1">IF(B1="",'数据-汇总表'!E6,IF(INDIRECT("'数据-取费表'!c"&amp;$K$1)="住宅",INDIRECT("'数据-取费表'!s"&amp;$K$1),INDIRECT("'数据-取费表'!k"&amp;$K$1)+INDIRECT("'数据-取费表'!s"&amp;$K$1)))</f>
        <v>46517.950000000012</v>
      </c>
      <c r="E22" s="53">
        <f>'数据-取费表'!B28</f>
        <v>120</v>
      </c>
      <c r="F22" s="2803"/>
      <c r="G22" s="26"/>
      <c r="H22" s="51"/>
      <c r="I22" s="51"/>
      <c r="J22" s="51"/>
      <c r="K22" s="2775"/>
    </row>
    <row r="23" spans="1:14" s="2102" customFormat="1" ht="13.5" customHeight="1">
      <c r="A23" s="2806" t="s">
        <v>1858</v>
      </c>
      <c r="B23" s="2988" t="s">
        <v>2829</v>
      </c>
      <c r="C23" s="2808">
        <f ca="1">ROUND((C18+C19+C20)*F23,0)</f>
        <v>1858</v>
      </c>
      <c r="D23" s="468"/>
      <c r="E23" s="468"/>
      <c r="F23" s="2812">
        <f>'数据-取费表'!B37</f>
        <v>0.02</v>
      </c>
      <c r="G23" s="2768" t="s">
        <v>2428</v>
      </c>
      <c r="H23" s="2769"/>
      <c r="I23" s="2769"/>
      <c r="J23" s="2769"/>
      <c r="K23" s="2770"/>
      <c r="L23" s="2104"/>
      <c r="M23" s="2104"/>
      <c r="N23" s="2104"/>
    </row>
    <row r="24" spans="1:14" s="2102" customFormat="1" ht="13.5" customHeight="1">
      <c r="A24" s="2806" t="s">
        <v>1859</v>
      </c>
      <c r="B24" s="2988" t="s">
        <v>2832</v>
      </c>
      <c r="C24" s="2808">
        <f ca="1">ROUND(C6*F24,0)</f>
        <v>4080</v>
      </c>
      <c r="D24" s="475"/>
      <c r="E24" s="473"/>
      <c r="F24" s="2812">
        <f>'数据-取费表'!B38</f>
        <v>0.02</v>
      </c>
      <c r="G24" s="2777" t="s">
        <v>499</v>
      </c>
      <c r="H24" s="2771"/>
      <c r="I24" s="2771"/>
      <c r="J24" s="2771"/>
      <c r="K24" s="279"/>
      <c r="L24" s="2104"/>
      <c r="M24" s="2104"/>
      <c r="N24" s="2104"/>
    </row>
    <row r="25" spans="1:14" s="2105" customFormat="1" ht="13.5" customHeight="1">
      <c r="A25" s="2806" t="s">
        <v>1860</v>
      </c>
      <c r="B25" s="2988" t="s">
        <v>2830</v>
      </c>
      <c r="C25" s="467">
        <f>ROUND(F25/(1+'数据-取费表'!C42),4)</f>
        <v>2.9000000000000001E-2</v>
      </c>
      <c r="D25" s="462" t="s">
        <v>2824</v>
      </c>
      <c r="E25" s="469"/>
      <c r="F25" s="2812">
        <f>IF(项目基本情况!B8="出让",0,'数据-取费表'!B48+'数据-取费表'!B49)</f>
        <v>3.0499999999999999E-2</v>
      </c>
      <c r="G25" s="2776" t="s">
        <v>2286</v>
      </c>
      <c r="H25" s="2769"/>
      <c r="I25" s="2769"/>
      <c r="J25" s="2769"/>
      <c r="K25" s="2770"/>
    </row>
    <row r="26" spans="1:14" s="2104" customFormat="1" ht="13.5" customHeight="1">
      <c r="A26" s="2806" t="s">
        <v>1861</v>
      </c>
      <c r="B26" s="2989" t="s">
        <v>2831</v>
      </c>
      <c r="C26" s="2813">
        <f ca="1">C28</f>
        <v>4696</v>
      </c>
      <c r="D26" s="467">
        <f ca="1">C27</f>
        <v>0.10009999999999999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0.10009999999999999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2833</v>
      </c>
      <c r="C28" s="2816">
        <f ca="1">ROUND(IF('数据-取费表'!B22&lt;=1,(C18+C19+C20+C23+C24)*F26*'数据-取费表'!B24/2,(C18+C19+C20+C23+C24)*(POWER((1+F26),'数据-取费表'!B24/2)-1)),0)</f>
        <v>4696</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10685</v>
      </c>
      <c r="D29" s="468"/>
      <c r="E29" s="468"/>
      <c r="F29" s="2990">
        <f>'数据-取费表'!B41</f>
        <v>5.5000000000000007E-2</v>
      </c>
      <c r="G29" s="2777" t="s">
        <v>498</v>
      </c>
      <c r="H29" s="2769"/>
      <c r="I29" s="2769"/>
      <c r="J29" s="2769"/>
      <c r="K29" s="2770"/>
    </row>
    <row r="30" spans="1:14" s="2107" customFormat="1" ht="13.5" customHeight="1">
      <c r="A30" s="1621" t="s">
        <v>1863</v>
      </c>
      <c r="B30" s="2818" t="s">
        <v>500</v>
      </c>
      <c r="C30" s="2813">
        <f ca="1">C31</f>
        <v>114237</v>
      </c>
      <c r="D30" s="477">
        <f ca="1">C32</f>
        <v>0.12909999999999999</v>
      </c>
      <c r="E30" s="469" t="s">
        <v>495</v>
      </c>
      <c r="F30" s="471"/>
      <c r="G30" s="2776" t="s">
        <v>2967</v>
      </c>
      <c r="H30" s="2769"/>
      <c r="I30" s="2769"/>
      <c r="J30" s="2769"/>
      <c r="K30" s="2770"/>
    </row>
    <row r="31" spans="1:14" s="2106" customFormat="1" ht="13.5" customHeight="1">
      <c r="A31" s="803" t="s">
        <v>1856</v>
      </c>
      <c r="B31" s="2814"/>
      <c r="C31" s="450">
        <f ca="1">C18+C19+C20+C23+C24+C26+C29</f>
        <v>114237</v>
      </c>
      <c r="D31" s="472"/>
      <c r="E31" s="473"/>
      <c r="F31" s="474"/>
      <c r="G31" s="261"/>
      <c r="H31" s="2771"/>
      <c r="I31" s="2771"/>
      <c r="J31" s="2771"/>
      <c r="K31" s="279"/>
    </row>
    <row r="32" spans="1:14" s="2106" customFormat="1" ht="13.5" customHeight="1">
      <c r="A32" s="803" t="s">
        <v>1857</v>
      </c>
      <c r="B32" s="2814"/>
      <c r="C32" s="53">
        <f ca="1">ROUND(C25+D26,4)</f>
        <v>0.12909999999999999</v>
      </c>
      <c r="D32" s="472"/>
      <c r="E32" s="473"/>
      <c r="F32" s="474"/>
      <c r="G32" s="261"/>
      <c r="H32" s="2771"/>
      <c r="I32" s="2771"/>
      <c r="J32" s="2771"/>
      <c r="K32" s="279"/>
    </row>
    <row r="33" spans="1:11" s="2108" customFormat="1" ht="13.5" customHeight="1">
      <c r="A33" s="2987" t="s">
        <v>2828</v>
      </c>
      <c r="B33" s="2985" t="s">
        <v>2826</v>
      </c>
      <c r="C33" s="478">
        <f ca="1">C35</f>
        <v>14828</v>
      </c>
      <c r="D33" s="467">
        <f ca="1">C34</f>
        <v>0.15440000000000001</v>
      </c>
      <c r="E33" s="469" t="s">
        <v>495</v>
      </c>
      <c r="F33" s="479">
        <f ca="1">IF(B1="",'数据-取费表'!Q16,INDIRECT("'数据-取费表'!q"&amp;$K$1))</f>
        <v>0.15</v>
      </c>
      <c r="G33" s="2772"/>
      <c r="H33" s="2773"/>
      <c r="I33" s="2773"/>
      <c r="J33" s="2773"/>
      <c r="K33" s="2774"/>
    </row>
    <row r="34" spans="1:11" s="2109" customFormat="1" ht="13.5" customHeight="1">
      <c r="A34" s="375" t="s">
        <v>1856</v>
      </c>
      <c r="B34" s="2819" t="s">
        <v>501</v>
      </c>
      <c r="C34" s="472">
        <f ca="1">ROUND((1+C25)*F33,4)</f>
        <v>0.15440000000000001</v>
      </c>
      <c r="D34" s="472"/>
      <c r="E34" s="473"/>
      <c r="F34" s="480"/>
      <c r="G34" s="261" t="s">
        <v>2287</v>
      </c>
      <c r="H34" s="2771"/>
      <c r="I34" s="2771"/>
      <c r="J34" s="2771"/>
      <c r="K34" s="279"/>
    </row>
    <row r="35" spans="1:11" s="2109" customFormat="1" ht="13.5" customHeight="1" thickBot="1">
      <c r="A35" s="1622" t="s">
        <v>1857</v>
      </c>
      <c r="B35" s="2986" t="s">
        <v>2834</v>
      </c>
      <c r="C35" s="1614">
        <f ca="1">ROUND((C18+C19+C20+C23+C24)*F33,0)</f>
        <v>14828</v>
      </c>
      <c r="D35" s="1615"/>
      <c r="E35" s="2820"/>
      <c r="F35" s="1616"/>
      <c r="G35" s="2778"/>
      <c r="H35" s="2779"/>
      <c r="I35" s="2779"/>
      <c r="J35" s="2779"/>
      <c r="K35" s="2780"/>
    </row>
    <row r="36" spans="1:11" s="2071" customFormat="1" ht="13.5" customHeight="1" thickBot="1">
      <c r="A36" s="284" t="s">
        <v>1844</v>
      </c>
      <c r="B36" s="2782"/>
      <c r="C36" s="2821">
        <f ca="1">ROUND((C6-C30-C33)/(1+D30+D33),0)</f>
        <v>58365</v>
      </c>
      <c r="D36" s="2782"/>
      <c r="E36" s="2782"/>
      <c r="F36" s="2782"/>
      <c r="G36" s="2781" t="s">
        <v>2835</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8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8</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2647</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77529</v>
      </c>
      <c r="D13" s="451"/>
      <c r="E13" s="365"/>
      <c r="F13" s="452"/>
      <c r="G13" s="444"/>
      <c r="H13" s="447"/>
      <c r="I13" s="447"/>
      <c r="J13" s="447"/>
      <c r="K13" s="448"/>
    </row>
    <row r="14" spans="1:41" s="2102" customFormat="1" ht="13.5" customHeight="1">
      <c r="A14" s="1619" t="s">
        <v>1849</v>
      </c>
      <c r="B14" s="449" t="s">
        <v>480</v>
      </c>
      <c r="C14" s="53">
        <f ca="1">ROUND(C13*F14,0)</f>
        <v>2326</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1977</v>
      </c>
      <c r="D15" s="451"/>
      <c r="E15" s="365"/>
      <c r="F15" s="453">
        <f>'数据-取费表'!B34</f>
        <v>0.03</v>
      </c>
      <c r="G15" s="444" t="s">
        <v>502</v>
      </c>
      <c r="H15" s="447"/>
      <c r="I15" s="447"/>
      <c r="J15" s="447"/>
      <c r="K15" s="448"/>
    </row>
    <row r="16" spans="1:41" s="2103" customFormat="1" ht="13.5" customHeight="1">
      <c r="A16" s="1619" t="s">
        <v>1851</v>
      </c>
      <c r="B16" s="449" t="s">
        <v>484</v>
      </c>
      <c r="C16" s="53">
        <f ca="1">ROUND(D16*E16/10000,0)</f>
        <v>6202</v>
      </c>
      <c r="D16" s="451">
        <f ca="1">IF(B1="",'数据-汇总表'!E3,INDIRECT("'数据-取费表'!K"&amp;$K$1)+INDIRECT("'数据-取费表'!S"&amp;$K$1))</f>
        <v>310119.66000000003</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1163</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89197</v>
      </c>
      <c r="D18" s="461"/>
      <c r="E18" s="462"/>
      <c r="F18" s="462"/>
      <c r="G18" s="1323" t="s">
        <v>2429</v>
      </c>
      <c r="H18" s="447"/>
      <c r="I18" s="447"/>
      <c r="J18" s="447"/>
      <c r="K18" s="448"/>
    </row>
    <row r="19" spans="1:14" s="2105" customFormat="1" ht="13.5" customHeight="1">
      <c r="A19" s="1620" t="s">
        <v>1854</v>
      </c>
      <c r="B19" s="459" t="s">
        <v>493</v>
      </c>
      <c r="C19" s="460">
        <f ca="1">ROUND(C18*F19,0)</f>
        <v>1784</v>
      </c>
      <c r="D19" s="462"/>
      <c r="E19" s="462"/>
      <c r="F19" s="466">
        <f>'数据-取费表'!B37</f>
        <v>0.02</v>
      </c>
      <c r="G19" s="444" t="s">
        <v>503</v>
      </c>
      <c r="H19" s="447"/>
      <c r="I19" s="447"/>
      <c r="J19" s="447"/>
      <c r="K19" s="448"/>
      <c r="L19" s="2107"/>
      <c r="M19" s="2107"/>
      <c r="N19" s="2107"/>
    </row>
    <row r="20" spans="1:14" s="2105" customFormat="1" ht="13.5" customHeight="1">
      <c r="A20" s="1620" t="s">
        <v>1855</v>
      </c>
      <c r="B20" s="459" t="s">
        <v>504</v>
      </c>
      <c r="C20" s="2983">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4322</v>
      </c>
      <c r="D21" s="467">
        <f ca="1">C23</f>
        <v>1E-3</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2451</v>
      </c>
    </row>
    <row r="22" spans="1:14" s="2106" customFormat="1" ht="13.5" customHeight="1">
      <c r="A22" s="1619" t="s">
        <v>1848</v>
      </c>
      <c r="B22" s="1324" t="s">
        <v>2432</v>
      </c>
      <c r="C22" s="487">
        <f ca="1">ROUND(IF('数据-取费表'!B22&lt;=1,(C18+C19)*F21*'数据-取费表'!B20/2,(C18+C19)*(POWER((1+F21),'数据-取费表'!B20/2)-1)),0)</f>
        <v>4322</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1E-3</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2827</v>
      </c>
      <c r="C24" s="478">
        <f ca="1">C25</f>
        <v>13647</v>
      </c>
      <c r="D24" s="489">
        <f ca="1">C26</f>
        <v>3.0000000000000001E-3</v>
      </c>
      <c r="E24" s="469" t="s">
        <v>507</v>
      </c>
      <c r="F24" s="479">
        <f ca="1">IF(B1="",'数据-取费表'!Q16,INDIRECT("'数据-取费表'!q"&amp;$K$1))</f>
        <v>0.15</v>
      </c>
      <c r="G24" s="444"/>
      <c r="H24" s="447"/>
      <c r="I24" s="447"/>
      <c r="J24" s="447"/>
      <c r="K24" s="448"/>
    </row>
    <row r="25" spans="1:14" s="2106" customFormat="1" ht="13.5" customHeight="1">
      <c r="A25" s="1619" t="s">
        <v>1848</v>
      </c>
      <c r="B25" s="1324" t="s">
        <v>2433</v>
      </c>
      <c r="C25" s="490">
        <f ca="1">ROUND((C18+C19)*F24,0)</f>
        <v>13647</v>
      </c>
      <c r="D25" s="472"/>
      <c r="E25" s="473"/>
      <c r="F25" s="480"/>
      <c r="G25" s="1322" t="s">
        <v>2430</v>
      </c>
      <c r="H25" s="457"/>
      <c r="I25" s="457"/>
      <c r="J25" s="457"/>
      <c r="K25" s="458"/>
    </row>
    <row r="26" spans="1:14" s="2106" customFormat="1" ht="13.5" customHeight="1">
      <c r="A26" s="1619" t="s">
        <v>1849</v>
      </c>
      <c r="B26" s="1324" t="s">
        <v>509</v>
      </c>
      <c r="C26" s="491">
        <f ca="1">ROUND(F20*F24,4)</f>
        <v>3.0000000000000001E-3</v>
      </c>
      <c r="D26" s="472"/>
      <c r="E26" s="481"/>
      <c r="F26" s="480"/>
      <c r="G26" s="1322" t="s">
        <v>510</v>
      </c>
      <c r="H26" s="457"/>
      <c r="I26" s="457"/>
      <c r="J26" s="457"/>
      <c r="K26" s="458"/>
    </row>
    <row r="27" spans="1:14" s="2106" customFormat="1" ht="13.5" customHeight="1">
      <c r="A27" s="1623" t="s">
        <v>1867</v>
      </c>
      <c r="B27" s="459" t="s">
        <v>511</v>
      </c>
      <c r="C27" s="2984">
        <f>ROUND(F27/(1+'数据-取费表'!C42),4)</f>
        <v>5.2400000000000002E-2</v>
      </c>
      <c r="D27" s="462" t="s">
        <v>2825</v>
      </c>
      <c r="E27" s="462"/>
      <c r="F27" s="466">
        <f>'数据-取费表'!B41</f>
        <v>5.5000000000000007E-2</v>
      </c>
      <c r="G27" s="1946" t="s">
        <v>2288</v>
      </c>
      <c r="H27" s="447"/>
      <c r="I27" s="447"/>
      <c r="J27" s="447"/>
      <c r="K27" s="448"/>
    </row>
    <row r="28" spans="1:14" s="2107" customFormat="1" ht="13.5" customHeight="1">
      <c r="A28" s="1623" t="s">
        <v>1868</v>
      </c>
      <c r="B28" s="476" t="s">
        <v>512</v>
      </c>
      <c r="C28" s="470">
        <f ca="1">ROUND((C18+C19+C21+C24)/(1-C20-D21-D24-C27),0)</f>
        <v>117962</v>
      </c>
      <c r="D28" s="477"/>
      <c r="E28" s="469"/>
      <c r="F28" s="471"/>
      <c r="G28" s="1323" t="s">
        <v>2431</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5.5000000000000007E-2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2968</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65" t="s">
        <v>522</v>
      </c>
      <c r="D6" s="3366"/>
      <c r="E6" s="3399" t="s">
        <v>523</v>
      </c>
      <c r="F6" s="3400"/>
      <c r="G6" s="3365" t="s">
        <v>524</v>
      </c>
      <c r="H6" s="3366"/>
      <c r="I6" s="3365" t="s">
        <v>525</v>
      </c>
      <c r="J6" s="3366"/>
      <c r="K6" s="514" t="s">
        <v>526</v>
      </c>
      <c r="L6" s="2119"/>
      <c r="M6" s="2120"/>
      <c r="N6" s="2120"/>
      <c r="O6" s="2120"/>
      <c r="P6" s="3367" t="s">
        <v>527</v>
      </c>
      <c r="Q6" s="3368"/>
      <c r="R6" s="3373" t="s">
        <v>523</v>
      </c>
      <c r="S6" s="3374"/>
      <c r="T6" s="3373" t="s">
        <v>524</v>
      </c>
      <c r="U6" s="3374"/>
      <c r="V6" s="3360" t="s">
        <v>525</v>
      </c>
      <c r="W6" s="3360"/>
      <c r="X6" s="1554"/>
      <c r="Y6" s="3373" t="s">
        <v>527</v>
      </c>
      <c r="Z6" s="3374"/>
      <c r="AA6" s="3362" t="s">
        <v>523</v>
      </c>
      <c r="AB6" s="3363" t="s">
        <v>524</v>
      </c>
      <c r="AC6" s="3362" t="s">
        <v>525</v>
      </c>
    </row>
    <row r="7" spans="1:29" ht="15">
      <c r="A7" s="515"/>
      <c r="B7" s="516"/>
      <c r="C7" s="3381" t="s">
        <v>2925</v>
      </c>
      <c r="D7" s="3382"/>
      <c r="E7" s="3401" t="s">
        <v>2926</v>
      </c>
      <c r="F7" s="3402"/>
      <c r="G7" s="3381" t="s">
        <v>2927</v>
      </c>
      <c r="H7" s="3382"/>
      <c r="I7" s="3381" t="s">
        <v>2928</v>
      </c>
      <c r="J7" s="3382"/>
      <c r="K7" s="514"/>
      <c r="L7" s="2119"/>
      <c r="M7" s="2120"/>
      <c r="N7" s="2120"/>
      <c r="O7" s="2120"/>
      <c r="P7" s="3369"/>
      <c r="Q7" s="3370"/>
      <c r="R7" s="3375"/>
      <c r="S7" s="3376"/>
      <c r="T7" s="3375"/>
      <c r="U7" s="3376"/>
      <c r="V7" s="3360"/>
      <c r="W7" s="3360"/>
      <c r="X7" s="1554"/>
      <c r="Y7" s="3375"/>
      <c r="Z7" s="3376"/>
      <c r="AA7" s="3363"/>
      <c r="AB7" s="3363"/>
      <c r="AC7" s="3363"/>
    </row>
    <row r="8" spans="1:29" ht="15.75" thickBot="1">
      <c r="A8" s="517"/>
      <c r="B8" s="518"/>
      <c r="C8" s="3379" t="s">
        <v>2929</v>
      </c>
      <c r="D8" s="3380"/>
      <c r="E8" s="3397" t="s">
        <v>2929</v>
      </c>
      <c r="F8" s="3398"/>
      <c r="G8" s="3379" t="s">
        <v>2929</v>
      </c>
      <c r="H8" s="3380"/>
      <c r="I8" s="3379" t="s">
        <v>2929</v>
      </c>
      <c r="J8" s="3380"/>
      <c r="K8" s="514" t="s">
        <v>528</v>
      </c>
      <c r="L8" s="2119"/>
      <c r="M8" s="2120"/>
      <c r="N8" s="2120"/>
      <c r="O8" s="2120"/>
      <c r="P8" s="3371"/>
      <c r="Q8" s="3372"/>
      <c r="R8" s="3375"/>
      <c r="S8" s="3376"/>
      <c r="T8" s="3377"/>
      <c r="U8" s="3378"/>
      <c r="V8" s="3360"/>
      <c r="W8" s="3360"/>
      <c r="X8" s="1554"/>
      <c r="Y8" s="3377"/>
      <c r="Z8" s="3378"/>
      <c r="AA8" s="3364"/>
      <c r="AB8" s="3364"/>
      <c r="AC8" s="3364"/>
    </row>
    <row r="9" spans="1:29" s="1216" customFormat="1" ht="15.75" thickBot="1">
      <c r="A9" s="2868"/>
      <c r="B9" s="2875" t="s">
        <v>529</v>
      </c>
      <c r="C9" s="519">
        <f>'数据-取费表'!B2</f>
        <v>43927</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390" t="s">
        <v>530</v>
      </c>
      <c r="Q9" s="3392"/>
      <c r="R9" s="1555" t="s">
        <v>8</v>
      </c>
      <c r="S9" s="1556">
        <f t="shared" ref="S9:S17" si="0">F9</f>
        <v>0</v>
      </c>
      <c r="T9" s="1555" t="s">
        <v>8</v>
      </c>
      <c r="U9" s="1556">
        <f t="shared" ref="U9:U17" si="1">H9</f>
        <v>0</v>
      </c>
      <c r="V9" s="1555" t="s">
        <v>8</v>
      </c>
      <c r="W9" s="1556">
        <f t="shared" ref="W9:W17" si="2">J9</f>
        <v>0</v>
      </c>
      <c r="X9" s="1557"/>
      <c r="Y9" s="3390" t="s">
        <v>530</v>
      </c>
      <c r="Z9" s="3391"/>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390" t="s">
        <v>533</v>
      </c>
      <c r="Q10" s="3391"/>
      <c r="R10" s="1555" t="s">
        <v>8</v>
      </c>
      <c r="S10" s="1556">
        <f t="shared" si="0"/>
        <v>0</v>
      </c>
      <c r="T10" s="1555" t="s">
        <v>8</v>
      </c>
      <c r="U10" s="1556">
        <f t="shared" si="1"/>
        <v>0</v>
      </c>
      <c r="V10" s="1555" t="s">
        <v>8</v>
      </c>
      <c r="W10" s="1556">
        <f t="shared" si="2"/>
        <v>0</v>
      </c>
      <c r="X10" s="1557"/>
      <c r="Y10" s="3390" t="s">
        <v>533</v>
      </c>
      <c r="Z10" s="3391"/>
      <c r="AA10" s="1558" t="e">
        <f t="shared" ref="AA10:AA42" si="3">D10/F10</f>
        <v>#DIV/0!</v>
      </c>
      <c r="AB10" s="1558" t="e">
        <f t="shared" ref="AB10:AB42" si="4">D10/H10</f>
        <v>#DIV/0!</v>
      </c>
      <c r="AC10" s="1558" t="e">
        <f t="shared" ref="AC10:AC42" si="5">D10/J10</f>
        <v>#DIV/0!</v>
      </c>
    </row>
    <row r="11" spans="1:29" s="1216" customFormat="1" ht="15">
      <c r="A11" s="2870"/>
      <c r="B11" s="2877" t="s">
        <v>2751</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59" t="s">
        <v>535</v>
      </c>
      <c r="Q11" s="1147" t="str">
        <f t="shared" ref="Q11:Q17" si="6">B11</f>
        <v>用途</v>
      </c>
      <c r="R11" s="1555" t="s">
        <v>8</v>
      </c>
      <c r="S11" s="1556">
        <f t="shared" si="0"/>
        <v>100</v>
      </c>
      <c r="T11" s="1555" t="s">
        <v>8</v>
      </c>
      <c r="U11" s="1556">
        <f t="shared" si="1"/>
        <v>100</v>
      </c>
      <c r="V11" s="1555" t="s">
        <v>8</v>
      </c>
      <c r="W11" s="1556">
        <f t="shared" si="2"/>
        <v>100</v>
      </c>
      <c r="X11" s="1557"/>
      <c r="Y11" s="3305" t="s">
        <v>536</v>
      </c>
      <c r="Z11" s="1146" t="str">
        <f t="shared" ref="Z11:Z17" si="7">Q11</f>
        <v>用途</v>
      </c>
      <c r="AA11" s="1558">
        <f t="shared" si="3"/>
        <v>1</v>
      </c>
      <c r="AB11" s="1558">
        <f t="shared" si="4"/>
        <v>1</v>
      </c>
      <c r="AC11" s="1558">
        <f t="shared" si="5"/>
        <v>1</v>
      </c>
    </row>
    <row r="12" spans="1:29" s="1334" customFormat="1" ht="27">
      <c r="A12" s="2871"/>
      <c r="B12" s="2876" t="s">
        <v>2752</v>
      </c>
      <c r="C12" s="528"/>
      <c r="D12" s="255">
        <v>100</v>
      </c>
      <c r="E12" s="528"/>
      <c r="F12" s="255">
        <f>ROUND(100/'数据-取费表'!G16,0)</f>
        <v>101</v>
      </c>
      <c r="G12" s="528"/>
      <c r="H12" s="255">
        <f>ROUND(100/'数据-取费表'!G16,0)</f>
        <v>101</v>
      </c>
      <c r="I12" s="528"/>
      <c r="J12" s="255">
        <f>ROUND(100/'数据-取费表'!G16,0)</f>
        <v>101</v>
      </c>
      <c r="K12" s="531"/>
      <c r="L12" s="2124"/>
      <c r="M12" s="2164"/>
      <c r="N12" s="2164"/>
      <c r="O12" s="2125"/>
      <c r="P12" s="3359"/>
      <c r="Q12" s="1147" t="str">
        <f t="shared" si="6"/>
        <v>土地使用年限（年）</v>
      </c>
      <c r="R12" s="1555" t="s">
        <v>8</v>
      </c>
      <c r="S12" s="1556">
        <f t="shared" si="0"/>
        <v>101</v>
      </c>
      <c r="T12" s="1555" t="s">
        <v>8</v>
      </c>
      <c r="U12" s="1556">
        <f t="shared" si="1"/>
        <v>101</v>
      </c>
      <c r="V12" s="1555" t="s">
        <v>8</v>
      </c>
      <c r="W12" s="1556">
        <f t="shared" si="2"/>
        <v>101</v>
      </c>
      <c r="X12" s="1557"/>
      <c r="Y12" s="3305"/>
      <c r="Z12" s="1146" t="str">
        <f t="shared" si="7"/>
        <v>土地使用年限（年）</v>
      </c>
      <c r="AA12" s="1558">
        <f t="shared" si="3"/>
        <v>0.99009900990099009</v>
      </c>
      <c r="AB12" s="1558">
        <f t="shared" si="4"/>
        <v>0.99009900990099009</v>
      </c>
      <c r="AC12" s="1558">
        <f t="shared" si="5"/>
        <v>0.99009900990099009</v>
      </c>
    </row>
    <row r="13" spans="1:29" ht="15">
      <c r="A13" s="2872"/>
      <c r="B13" s="2876" t="s">
        <v>2753</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59"/>
      <c r="Q13" s="1147" t="str">
        <f t="shared" si="6"/>
        <v>容积率</v>
      </c>
      <c r="R13" s="1555" t="s">
        <v>8</v>
      </c>
      <c r="S13" s="1556" t="e">
        <f t="shared" si="0"/>
        <v>#N/A</v>
      </c>
      <c r="T13" s="1555" t="s">
        <v>8</v>
      </c>
      <c r="U13" s="1556" t="e">
        <f t="shared" si="1"/>
        <v>#N/A</v>
      </c>
      <c r="V13" s="1555" t="s">
        <v>8</v>
      </c>
      <c r="W13" s="1556" t="e">
        <f t="shared" si="2"/>
        <v>#N/A</v>
      </c>
      <c r="X13" s="1557"/>
      <c r="Y13" s="3305"/>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59"/>
      <c r="Q14" s="1147">
        <f t="shared" si="6"/>
        <v>111</v>
      </c>
      <c r="R14" s="1555" t="s">
        <v>8</v>
      </c>
      <c r="S14" s="1556">
        <f t="shared" si="0"/>
        <v>100</v>
      </c>
      <c r="T14" s="1555" t="s">
        <v>8</v>
      </c>
      <c r="U14" s="1556">
        <f t="shared" si="1"/>
        <v>100</v>
      </c>
      <c r="V14" s="1555" t="s">
        <v>8</v>
      </c>
      <c r="W14" s="1556">
        <f t="shared" si="2"/>
        <v>100</v>
      </c>
      <c r="X14" s="1557"/>
      <c r="Y14" s="3305"/>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59"/>
      <c r="Q15" s="1147">
        <f t="shared" si="6"/>
        <v>111</v>
      </c>
      <c r="R15" s="1555" t="s">
        <v>8</v>
      </c>
      <c r="S15" s="1556">
        <f t="shared" si="0"/>
        <v>100</v>
      </c>
      <c r="T15" s="1555" t="s">
        <v>8</v>
      </c>
      <c r="U15" s="1556">
        <f t="shared" si="1"/>
        <v>100</v>
      </c>
      <c r="V15" s="1555" t="s">
        <v>8</v>
      </c>
      <c r="W15" s="1556">
        <f t="shared" si="2"/>
        <v>100</v>
      </c>
      <c r="X15" s="1557"/>
      <c r="Y15" s="3305"/>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59"/>
      <c r="Q16" s="1147">
        <f t="shared" si="6"/>
        <v>111</v>
      </c>
      <c r="R16" s="1555" t="s">
        <v>8</v>
      </c>
      <c r="S16" s="1556">
        <f t="shared" si="0"/>
        <v>100</v>
      </c>
      <c r="T16" s="1555" t="s">
        <v>8</v>
      </c>
      <c r="U16" s="1556">
        <f t="shared" si="1"/>
        <v>100</v>
      </c>
      <c r="V16" s="1555" t="s">
        <v>8</v>
      </c>
      <c r="W16" s="1556">
        <f t="shared" si="2"/>
        <v>100</v>
      </c>
      <c r="X16" s="1557"/>
      <c r="Y16" s="3305"/>
      <c r="Z16" s="1146">
        <f t="shared" si="7"/>
        <v>111</v>
      </c>
      <c r="AA16" s="1558">
        <f t="shared" si="3"/>
        <v>1</v>
      </c>
      <c r="AB16" s="1558">
        <f t="shared" si="4"/>
        <v>1</v>
      </c>
      <c r="AC16" s="1558">
        <f t="shared" si="5"/>
        <v>1</v>
      </c>
    </row>
    <row r="17" spans="1:29" ht="57">
      <c r="A17" s="2866" t="s">
        <v>2749</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393" t="s">
        <v>540</v>
      </c>
      <c r="Q17" s="1559" t="str">
        <f t="shared" si="6"/>
        <v>产业集聚程度</v>
      </c>
      <c r="R17" s="1560" t="s">
        <v>8</v>
      </c>
      <c r="S17" s="1561">
        <f t="shared" si="0"/>
        <v>100</v>
      </c>
      <c r="T17" s="1560" t="s">
        <v>8</v>
      </c>
      <c r="U17" s="1561">
        <f t="shared" si="1"/>
        <v>100</v>
      </c>
      <c r="V17" s="1560" t="s">
        <v>8</v>
      </c>
      <c r="W17" s="1561">
        <f t="shared" si="2"/>
        <v>100</v>
      </c>
      <c r="X17" s="1554"/>
      <c r="Y17" s="3393"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394"/>
      <c r="Q18" s="1559"/>
      <c r="R18" s="1560"/>
      <c r="S18" s="1561"/>
      <c r="T18" s="1560"/>
      <c r="U18" s="1561"/>
      <c r="V18" s="1560"/>
      <c r="W18" s="1561"/>
      <c r="X18" s="1554"/>
      <c r="Y18" s="3394"/>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394"/>
      <c r="Q19" s="1559" t="str">
        <f>B19</f>
        <v>交通便捷度</v>
      </c>
      <c r="R19" s="1560" t="s">
        <v>8</v>
      </c>
      <c r="S19" s="1561">
        <f>F19</f>
        <v>100</v>
      </c>
      <c r="T19" s="1560" t="s">
        <v>8</v>
      </c>
      <c r="U19" s="1561">
        <f>H19</f>
        <v>100</v>
      </c>
      <c r="V19" s="1560" t="s">
        <v>8</v>
      </c>
      <c r="W19" s="1561">
        <f>J19</f>
        <v>100</v>
      </c>
      <c r="X19" s="1554"/>
      <c r="Y19" s="3394"/>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394"/>
      <c r="Q20" s="1559"/>
      <c r="R20" s="1560"/>
      <c r="S20" s="1561"/>
      <c r="T20" s="1560"/>
      <c r="U20" s="1561"/>
      <c r="V20" s="1560"/>
      <c r="W20" s="1561"/>
      <c r="X20" s="1554"/>
      <c r="Y20" s="3394"/>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394"/>
      <c r="Q21" s="1559" t="str">
        <f t="shared" ref="Q21:Q35" si="8">B21</f>
        <v>区域土地利用方向</v>
      </c>
      <c r="R21" s="1560" t="s">
        <v>8</v>
      </c>
      <c r="S21" s="1561">
        <f>F21</f>
        <v>100</v>
      </c>
      <c r="T21" s="1560" t="s">
        <v>8</v>
      </c>
      <c r="U21" s="1561">
        <f>H21</f>
        <v>100</v>
      </c>
      <c r="V21" s="1560" t="s">
        <v>8</v>
      </c>
      <c r="W21" s="1561">
        <f>J21</f>
        <v>100</v>
      </c>
      <c r="X21" s="1554"/>
      <c r="Y21" s="3394"/>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394"/>
      <c r="Q22" s="1559"/>
      <c r="R22" s="1560"/>
      <c r="S22" s="1561"/>
      <c r="T22" s="1560"/>
      <c r="U22" s="1561"/>
      <c r="V22" s="1560"/>
      <c r="W22" s="1561"/>
      <c r="X22" s="1554"/>
      <c r="Y22" s="3394"/>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394"/>
      <c r="Q23" s="1559" t="str">
        <f t="shared" si="8"/>
        <v>环境状况</v>
      </c>
      <c r="R23" s="1560" t="s">
        <v>8</v>
      </c>
      <c r="S23" s="1561">
        <f>F23</f>
        <v>100</v>
      </c>
      <c r="T23" s="1560" t="s">
        <v>8</v>
      </c>
      <c r="U23" s="1561">
        <f>H23</f>
        <v>100</v>
      </c>
      <c r="V23" s="1560" t="s">
        <v>8</v>
      </c>
      <c r="W23" s="1561">
        <f>J23</f>
        <v>100</v>
      </c>
      <c r="X23" s="1554"/>
      <c r="Y23" s="3394"/>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394"/>
      <c r="Q24" s="1559"/>
      <c r="R24" s="1560"/>
      <c r="S24" s="1561"/>
      <c r="T24" s="1560"/>
      <c r="U24" s="1561"/>
      <c r="V24" s="1560"/>
      <c r="W24" s="1561"/>
      <c r="X24" s="1554"/>
      <c r="Y24" s="3394"/>
      <c r="Z24" s="1562"/>
      <c r="AA24" s="1563">
        <v>1</v>
      </c>
      <c r="AB24" s="1563">
        <v>1</v>
      </c>
      <c r="AC24" s="1563">
        <v>1</v>
      </c>
    </row>
    <row r="25" spans="1:29" s="1216" customFormat="1" ht="42.75">
      <c r="A25" s="577"/>
      <c r="B25" s="2558" t="s">
        <v>2544</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394"/>
      <c r="Q25" s="1147" t="str">
        <f t="shared" si="8"/>
        <v>公共配套设施</v>
      </c>
      <c r="R25" s="1555" t="s">
        <v>8</v>
      </c>
      <c r="S25" s="1556">
        <f>F25</f>
        <v>100</v>
      </c>
      <c r="T25" s="1555" t="s">
        <v>8</v>
      </c>
      <c r="U25" s="1556">
        <f>H25</f>
        <v>100</v>
      </c>
      <c r="V25" s="1555" t="s">
        <v>8</v>
      </c>
      <c r="W25" s="1556">
        <f>J25</f>
        <v>100</v>
      </c>
      <c r="X25" s="1557"/>
      <c r="Y25" s="3394"/>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394"/>
      <c r="Q26" s="1147"/>
      <c r="R26" s="1555"/>
      <c r="S26" s="1556"/>
      <c r="T26" s="1555"/>
      <c r="U26" s="1556"/>
      <c r="V26" s="1555"/>
      <c r="W26" s="1556"/>
      <c r="X26" s="1557"/>
      <c r="Y26" s="3394"/>
      <c r="Z26" s="1146"/>
      <c r="AA26" s="1558">
        <v>1</v>
      </c>
      <c r="AB26" s="1558">
        <v>1</v>
      </c>
      <c r="AC26" s="1558">
        <v>1</v>
      </c>
    </row>
    <row r="27" spans="1:29" s="1216" customFormat="1" ht="28.5">
      <c r="A27" s="577"/>
      <c r="B27" s="2558" t="s">
        <v>2545</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394"/>
      <c r="Q27" s="2543" t="str">
        <f t="shared" ref="Q27" si="9">B27</f>
        <v>基础设施水平</v>
      </c>
      <c r="R27" s="1555" t="s">
        <v>8</v>
      </c>
      <c r="S27" s="1556">
        <f>F27</f>
        <v>100</v>
      </c>
      <c r="T27" s="1555" t="s">
        <v>8</v>
      </c>
      <c r="U27" s="1556">
        <f>H27</f>
        <v>100</v>
      </c>
      <c r="V27" s="1555" t="s">
        <v>8</v>
      </c>
      <c r="W27" s="1556">
        <f>J27</f>
        <v>100</v>
      </c>
      <c r="X27" s="1557"/>
      <c r="Y27" s="3394"/>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394"/>
      <c r="Q28" s="2543"/>
      <c r="R28" s="1555"/>
      <c r="S28" s="1556"/>
      <c r="T28" s="1555"/>
      <c r="U28" s="1556"/>
      <c r="V28" s="1555"/>
      <c r="W28" s="1556"/>
      <c r="X28" s="1557"/>
      <c r="Y28" s="3394"/>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394"/>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394"/>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394"/>
      <c r="Q30" s="1559" t="str">
        <f t="shared" si="8"/>
        <v>毗邻道路的类型与等级</v>
      </c>
      <c r="R30" s="1560" t="s">
        <v>8</v>
      </c>
      <c r="S30" s="1561">
        <f t="shared" si="10"/>
        <v>100</v>
      </c>
      <c r="T30" s="1560" t="s">
        <v>8</v>
      </c>
      <c r="U30" s="1561">
        <f t="shared" si="11"/>
        <v>100</v>
      </c>
      <c r="V30" s="1560" t="s">
        <v>8</v>
      </c>
      <c r="W30" s="1561">
        <f t="shared" si="12"/>
        <v>100</v>
      </c>
      <c r="X30" s="1554"/>
      <c r="Y30" s="3394"/>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394"/>
      <c r="Q31" s="1559"/>
      <c r="R31" s="1560"/>
      <c r="S31" s="1561"/>
      <c r="T31" s="1560"/>
      <c r="U31" s="1561"/>
      <c r="V31" s="1560"/>
      <c r="W31" s="1561"/>
      <c r="X31" s="1554"/>
      <c r="Y31" s="3394"/>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394"/>
      <c r="Q32" s="1559" t="str">
        <f t="shared" si="8"/>
        <v>土地级别</v>
      </c>
      <c r="R32" s="1560" t="s">
        <v>8</v>
      </c>
      <c r="S32" s="1561">
        <f t="shared" si="10"/>
        <v>100</v>
      </c>
      <c r="T32" s="1560" t="s">
        <v>8</v>
      </c>
      <c r="U32" s="1561">
        <f t="shared" si="11"/>
        <v>100</v>
      </c>
      <c r="V32" s="1560" t="s">
        <v>8</v>
      </c>
      <c r="W32" s="1561">
        <f t="shared" si="12"/>
        <v>100</v>
      </c>
      <c r="X32" s="1554"/>
      <c r="Y32" s="3394"/>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394"/>
      <c r="Q33" s="1559">
        <f t="shared" si="8"/>
        <v>111</v>
      </c>
      <c r="R33" s="1560" t="s">
        <v>8</v>
      </c>
      <c r="S33" s="1561">
        <f t="shared" si="10"/>
        <v>100</v>
      </c>
      <c r="T33" s="1560" t="s">
        <v>8</v>
      </c>
      <c r="U33" s="1561">
        <f t="shared" si="11"/>
        <v>100</v>
      </c>
      <c r="V33" s="1560" t="s">
        <v>8</v>
      </c>
      <c r="W33" s="1561">
        <f t="shared" si="12"/>
        <v>100</v>
      </c>
      <c r="X33" s="1554"/>
      <c r="Y33" s="3394"/>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395" t="s">
        <v>550</v>
      </c>
      <c r="Q34" s="1559">
        <f t="shared" si="8"/>
        <v>111</v>
      </c>
      <c r="R34" s="1560" t="s">
        <v>8</v>
      </c>
      <c r="S34" s="1561">
        <f t="shared" si="10"/>
        <v>100</v>
      </c>
      <c r="T34" s="1560" t="s">
        <v>8</v>
      </c>
      <c r="U34" s="1561">
        <f t="shared" si="11"/>
        <v>100</v>
      </c>
      <c r="V34" s="1560" t="s">
        <v>8</v>
      </c>
      <c r="W34" s="1561">
        <f t="shared" si="12"/>
        <v>100</v>
      </c>
      <c r="X34" s="1554"/>
      <c r="Y34" s="3396"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396"/>
      <c r="Q35" s="1559">
        <f t="shared" si="8"/>
        <v>111</v>
      </c>
      <c r="R35" s="1564" t="s">
        <v>8</v>
      </c>
      <c r="S35" s="1565">
        <f t="shared" si="10"/>
        <v>100</v>
      </c>
      <c r="T35" s="1564" t="s">
        <v>8</v>
      </c>
      <c r="U35" s="1565">
        <f t="shared" si="11"/>
        <v>100</v>
      </c>
      <c r="V35" s="1564" t="s">
        <v>8</v>
      </c>
      <c r="W35" s="1565">
        <f t="shared" si="12"/>
        <v>100</v>
      </c>
      <c r="X35" s="1566"/>
      <c r="Y35" s="3396"/>
      <c r="Z35" s="1567">
        <f t="shared" si="13"/>
        <v>111</v>
      </c>
      <c r="AA35" s="1563">
        <f t="shared" si="3"/>
        <v>1</v>
      </c>
      <c r="AB35" s="1563">
        <f t="shared" si="4"/>
        <v>1</v>
      </c>
      <c r="AC35" s="1563">
        <f t="shared" si="5"/>
        <v>1</v>
      </c>
    </row>
    <row r="36" spans="1:29" ht="15">
      <c r="A36" s="2863" t="s">
        <v>2750</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396"/>
      <c r="Q36" s="1559" t="str">
        <f>B36</f>
        <v>宗地面积</v>
      </c>
      <c r="R36" s="1560" t="s">
        <v>8</v>
      </c>
      <c r="S36" s="1561" t="e">
        <f t="shared" si="10"/>
        <v>#N/A</v>
      </c>
      <c r="T36" s="1560" t="s">
        <v>8</v>
      </c>
      <c r="U36" s="1561" t="e">
        <f t="shared" si="11"/>
        <v>#N/A</v>
      </c>
      <c r="V36" s="1560" t="s">
        <v>8</v>
      </c>
      <c r="W36" s="1561" t="e">
        <f t="shared" si="12"/>
        <v>#N/A</v>
      </c>
      <c r="X36" s="1554"/>
      <c r="Y36" s="3396"/>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396"/>
      <c r="Q37" s="1559" t="str">
        <f t="shared" ref="Q37:Q42" si="14">B37</f>
        <v>宗地形状</v>
      </c>
      <c r="R37" s="1560" t="s">
        <v>8</v>
      </c>
      <c r="S37" s="1561">
        <f t="shared" si="10"/>
        <v>100</v>
      </c>
      <c r="T37" s="1560" t="s">
        <v>8</v>
      </c>
      <c r="U37" s="1561">
        <f t="shared" si="11"/>
        <v>100</v>
      </c>
      <c r="V37" s="1560" t="s">
        <v>8</v>
      </c>
      <c r="W37" s="1561">
        <f t="shared" si="12"/>
        <v>100</v>
      </c>
      <c r="X37" s="1554"/>
      <c r="Y37" s="3396"/>
      <c r="Z37" s="1562" t="str">
        <f t="shared" si="13"/>
        <v>宗地形状</v>
      </c>
      <c r="AA37" s="1563">
        <f t="shared" si="3"/>
        <v>1</v>
      </c>
      <c r="AB37" s="1563">
        <f t="shared" si="4"/>
        <v>1</v>
      </c>
      <c r="AC37" s="1563">
        <f t="shared" si="5"/>
        <v>1</v>
      </c>
    </row>
    <row r="38" spans="1:29" s="1216" customFormat="1" ht="15">
      <c r="A38" s="600"/>
      <c r="B38" s="1881" t="s">
        <v>2421</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396"/>
      <c r="Q38" s="1559" t="str">
        <f t="shared" si="14"/>
        <v>宗地开发程度</v>
      </c>
      <c r="R38" s="1555" t="s">
        <v>8</v>
      </c>
      <c r="S38" s="1556">
        <f t="shared" si="10"/>
        <v>100</v>
      </c>
      <c r="T38" s="1555" t="s">
        <v>8</v>
      </c>
      <c r="U38" s="1556">
        <f t="shared" si="11"/>
        <v>100</v>
      </c>
      <c r="V38" s="1555" t="s">
        <v>8</v>
      </c>
      <c r="W38" s="1556">
        <f t="shared" si="12"/>
        <v>100</v>
      </c>
      <c r="X38" s="1557"/>
      <c r="Y38" s="3396"/>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96" t="s">
        <v>601</v>
      </c>
      <c r="Q39" s="1559" t="str">
        <f t="shared" si="14"/>
        <v>工程地质条件</v>
      </c>
      <c r="R39" s="1560" t="s">
        <v>8</v>
      </c>
      <c r="S39" s="1561">
        <f t="shared" si="10"/>
        <v>100</v>
      </c>
      <c r="T39" s="1560" t="s">
        <v>8</v>
      </c>
      <c r="U39" s="1561">
        <f t="shared" si="11"/>
        <v>100</v>
      </c>
      <c r="V39" s="1560" t="s">
        <v>8</v>
      </c>
      <c r="W39" s="1561">
        <f t="shared" si="12"/>
        <v>100</v>
      </c>
      <c r="X39" s="1554"/>
      <c r="Y39" s="3396"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396"/>
      <c r="Q40" s="1559">
        <f t="shared" si="14"/>
        <v>111</v>
      </c>
      <c r="R40" s="1560" t="s">
        <v>8</v>
      </c>
      <c r="S40" s="1561">
        <f t="shared" si="10"/>
        <v>100</v>
      </c>
      <c r="T40" s="1560" t="s">
        <v>8</v>
      </c>
      <c r="U40" s="1561">
        <f t="shared" si="11"/>
        <v>100</v>
      </c>
      <c r="V40" s="1560" t="s">
        <v>8</v>
      </c>
      <c r="W40" s="1561">
        <f t="shared" si="12"/>
        <v>100</v>
      </c>
      <c r="X40" s="1554"/>
      <c r="Y40" s="3396"/>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396"/>
      <c r="Q41" s="1559">
        <f t="shared" si="14"/>
        <v>111</v>
      </c>
      <c r="R41" s="1560" t="s">
        <v>8</v>
      </c>
      <c r="S41" s="1561">
        <f t="shared" si="10"/>
        <v>100</v>
      </c>
      <c r="T41" s="1560" t="s">
        <v>8</v>
      </c>
      <c r="U41" s="1561">
        <f t="shared" si="11"/>
        <v>100</v>
      </c>
      <c r="V41" s="1560" t="s">
        <v>8</v>
      </c>
      <c r="W41" s="1561">
        <f t="shared" si="12"/>
        <v>100</v>
      </c>
      <c r="X41" s="1554"/>
      <c r="Y41" s="3396"/>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396"/>
      <c r="Q42" s="1559">
        <f t="shared" si="14"/>
        <v>111</v>
      </c>
      <c r="R42" s="1564" t="s">
        <v>8</v>
      </c>
      <c r="S42" s="1565">
        <f t="shared" si="10"/>
        <v>100</v>
      </c>
      <c r="T42" s="1564" t="s">
        <v>8</v>
      </c>
      <c r="U42" s="1565">
        <f t="shared" si="11"/>
        <v>100</v>
      </c>
      <c r="V42" s="1564" t="s">
        <v>8</v>
      </c>
      <c r="W42" s="1565">
        <f t="shared" si="12"/>
        <v>100</v>
      </c>
      <c r="X42" s="1566"/>
      <c r="Y42" s="3396"/>
      <c r="Z42" s="1567">
        <f t="shared" si="13"/>
        <v>111</v>
      </c>
      <c r="AA42" s="1563">
        <f t="shared" si="3"/>
        <v>1</v>
      </c>
      <c r="AB42" s="1563">
        <f t="shared" si="4"/>
        <v>1</v>
      </c>
      <c r="AC42" s="1563">
        <f t="shared" si="5"/>
        <v>1</v>
      </c>
    </row>
    <row r="43" spans="1:29" ht="15">
      <c r="A43" s="607" t="s">
        <v>556</v>
      </c>
      <c r="B43" s="608" t="s">
        <v>2930</v>
      </c>
      <c r="C43" s="609" t="s">
        <v>1</v>
      </c>
      <c r="D43" s="610"/>
      <c r="E43" s="611"/>
      <c r="F43" s="612"/>
      <c r="G43" s="613"/>
      <c r="H43" s="614"/>
      <c r="I43" s="611"/>
      <c r="J43" s="614"/>
      <c r="K43" s="1336"/>
      <c r="L43" s="2130"/>
      <c r="M43" s="2120"/>
      <c r="N43" s="2120"/>
      <c r="O43" s="2131"/>
      <c r="P43" s="3359" t="str">
        <f>A43</f>
        <v>成交单价</v>
      </c>
      <c r="Q43" s="3359"/>
      <c r="R43" s="3360">
        <f>E43</f>
        <v>0</v>
      </c>
      <c r="S43" s="3360"/>
      <c r="T43" s="3360">
        <f>G43</f>
        <v>0</v>
      </c>
      <c r="U43" s="3360"/>
      <c r="V43" s="3360">
        <f>I43</f>
        <v>0</v>
      </c>
      <c r="W43" s="3360"/>
      <c r="X43" s="1546"/>
      <c r="Y43" s="1568"/>
      <c r="Z43" s="1546"/>
      <c r="AA43" s="1546"/>
      <c r="AB43" s="1546"/>
      <c r="AC43" s="1546"/>
    </row>
    <row r="44" spans="1:29" ht="15.75" thickBot="1">
      <c r="A44" s="615" t="s">
        <v>2688</v>
      </c>
      <c r="B44" s="616"/>
      <c r="C44" s="617" t="e">
        <f>R45</f>
        <v>#DIV/0!</v>
      </c>
      <c r="D44" s="618"/>
      <c r="E44" s="617" t="e">
        <f>R44</f>
        <v>#DIV/0!</v>
      </c>
      <c r="F44" s="619"/>
      <c r="G44" s="620" t="e">
        <f>T44</f>
        <v>#DIV/0!</v>
      </c>
      <c r="H44" s="618"/>
      <c r="I44" s="617" t="e">
        <f>V44</f>
        <v>#DIV/0!</v>
      </c>
      <c r="J44" s="618"/>
      <c r="K44" s="1337"/>
      <c r="L44" s="2130"/>
      <c r="M44" s="2120"/>
      <c r="N44" s="2120"/>
      <c r="O44" s="2131"/>
      <c r="P44" s="3359" t="str">
        <f>A44</f>
        <v>比较价格（元/平方米）</v>
      </c>
      <c r="Q44" s="3359"/>
      <c r="R44" s="3361" t="e">
        <f>ROUND(PRODUCT(R43,AA9:AA42),0)</f>
        <v>#DIV/0!</v>
      </c>
      <c r="S44" s="3361"/>
      <c r="T44" s="3361" t="e">
        <f>ROUND(PRODUCT(T43,AB9:AB42),0)</f>
        <v>#DIV/0!</v>
      </c>
      <c r="U44" s="3361"/>
      <c r="V44" s="3361" t="e">
        <f>ROUND(PRODUCT(V43,AC9:AC42),0)</f>
        <v>#DIV/0!</v>
      </c>
      <c r="W44" s="3361"/>
      <c r="X44" s="1546"/>
      <c r="Y44" s="1546"/>
      <c r="Z44" s="1546"/>
      <c r="AA44" s="1546"/>
      <c r="AB44" s="1546"/>
      <c r="AC44" s="1546"/>
    </row>
    <row r="45" spans="1:29" ht="15.75" thickBot="1">
      <c r="A45" s="621" t="s">
        <v>2931</v>
      </c>
      <c r="B45" s="622"/>
      <c r="C45" s="623" t="e">
        <f>R45</f>
        <v>#DIV/0!</v>
      </c>
      <c r="D45" s="623"/>
      <c r="E45" s="623"/>
      <c r="F45" s="623"/>
      <c r="G45" s="623"/>
      <c r="H45" s="623"/>
      <c r="I45" s="623"/>
      <c r="J45" s="623"/>
      <c r="K45" s="1338"/>
      <c r="L45" s="2130"/>
      <c r="M45" s="2120"/>
      <c r="N45" s="2120"/>
      <c r="O45" s="2131"/>
      <c r="P45" s="3356" t="str">
        <f>A45</f>
        <v>估价对象XX用房的比较价格（楼面单价，元/平方米）</v>
      </c>
      <c r="Q45" s="3357"/>
      <c r="R45" s="3358" t="e">
        <f>ROUND(AVERAGE(R44:V44),0)</f>
        <v>#DIV/0!</v>
      </c>
      <c r="S45" s="3358"/>
      <c r="T45" s="3358"/>
      <c r="U45" s="3358"/>
      <c r="V45" s="3358"/>
      <c r="W45" s="3358"/>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2290</v>
      </c>
      <c r="E52" s="631" t="s">
        <v>562</v>
      </c>
      <c r="F52" s="1937" t="s">
        <v>563</v>
      </c>
      <c r="G52" s="3403" t="s">
        <v>2281</v>
      </c>
      <c r="H52" s="3404"/>
      <c r="I52" s="1938" t="s">
        <v>1943</v>
      </c>
      <c r="J52" s="1542" t="str">
        <f>项目基本情况!F41</f>
        <v>成都市</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310119.66000000003</v>
      </c>
      <c r="F53" s="1936" t="e">
        <f t="shared" ref="F53:F62" si="15">ROUND(B53*E53/10000,0)</f>
        <v>#DIV/0!</v>
      </c>
      <c r="G53" s="3405"/>
      <c r="H53" s="3406"/>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07" t="s">
        <v>2282</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07"/>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07"/>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07"/>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2325</v>
      </c>
      <c r="B58" s="638" t="e">
        <f t="shared" si="17"/>
        <v>#DIV/0!</v>
      </c>
      <c r="C58" s="378">
        <f t="shared" si="16"/>
        <v>0</v>
      </c>
      <c r="D58" s="2215">
        <v>0.25</v>
      </c>
      <c r="E58" s="641">
        <f>'数据-汇总表'!E11</f>
        <v>0</v>
      </c>
      <c r="F58" s="1936" t="e">
        <f t="shared" si="15"/>
        <v>#DIV/0!</v>
      </c>
      <c r="G58" s="1942" t="s">
        <v>2283</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2282</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2283</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2291</v>
      </c>
      <c r="E63" s="643">
        <f>IF(B43="楼面地价",SUM(E53:E62),'数据-汇总表'!D3)</f>
        <v>103373.22</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2020-4-1</v>
      </c>
      <c r="D65" s="2755">
        <f>EDATE(C65,-3)</f>
        <v>43831</v>
      </c>
      <c r="E65" s="2755">
        <f t="shared" ref="E65:N65" si="18">EDATE(D65,-3)</f>
        <v>43739</v>
      </c>
      <c r="F65" s="2755">
        <f t="shared" si="18"/>
        <v>43647</v>
      </c>
      <c r="G65" s="2755">
        <f t="shared" si="18"/>
        <v>43556</v>
      </c>
      <c r="H65" s="2755">
        <f t="shared" si="18"/>
        <v>43466</v>
      </c>
      <c r="I65" s="2755">
        <f t="shared" si="18"/>
        <v>43374</v>
      </c>
      <c r="J65" s="2755">
        <f t="shared" si="18"/>
        <v>43282</v>
      </c>
      <c r="K65" s="2755">
        <f t="shared" si="18"/>
        <v>43191</v>
      </c>
      <c r="L65" s="2755">
        <f t="shared" si="18"/>
        <v>43101</v>
      </c>
      <c r="M65" s="2755">
        <f t="shared" si="18"/>
        <v>43009</v>
      </c>
      <c r="N65" s="2755">
        <f t="shared" si="18"/>
        <v>42917</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2529</v>
      </c>
      <c r="B67" s="646"/>
      <c r="C67" s="2751" t="str">
        <f>YEAR(C65)&amp;"-"&amp;ROUNDUP(MONTH(C65)/3,0)</f>
        <v>2020-2</v>
      </c>
      <c r="D67" s="2757" t="str">
        <f t="shared" ref="D67:N67" si="19">YEAR(D65)&amp;"-"&amp;ROUNDUP(MONTH(D65)/3,0)</f>
        <v>2020-1</v>
      </c>
      <c r="E67" s="2757" t="str">
        <f t="shared" si="19"/>
        <v>2019-4</v>
      </c>
      <c r="F67" s="2757" t="str">
        <f t="shared" si="19"/>
        <v>2019-3</v>
      </c>
      <c r="G67" s="2757" t="str">
        <f t="shared" si="19"/>
        <v>2019-2</v>
      </c>
      <c r="H67" s="2757" t="str">
        <f t="shared" si="19"/>
        <v>2019-1</v>
      </c>
      <c r="I67" s="2757" t="str">
        <f t="shared" si="19"/>
        <v>2018-4</v>
      </c>
      <c r="J67" s="2757" t="str">
        <f t="shared" si="19"/>
        <v>2018-3</v>
      </c>
      <c r="K67" s="2757" t="str">
        <f t="shared" si="19"/>
        <v>2018-2</v>
      </c>
      <c r="L67" s="2757" t="str">
        <f t="shared" si="19"/>
        <v>2018-1</v>
      </c>
      <c r="M67" s="2757" t="str">
        <f t="shared" si="19"/>
        <v>2017-4</v>
      </c>
      <c r="N67" s="2757" t="str">
        <f t="shared" si="19"/>
        <v>2017-3</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2644</v>
      </c>
      <c r="B68" s="479" t="str">
        <f>"北京市平均增长率"&amp;TEXT(基准地价!P24,"0.00%")</f>
        <v>北京市平均增长率0.00%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2544</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2546</v>
      </c>
      <c r="C95" s="2563" t="s">
        <v>2547</v>
      </c>
      <c r="D95" s="2563" t="s">
        <v>2548</v>
      </c>
      <c r="E95" s="2563" t="s">
        <v>2549</v>
      </c>
      <c r="F95" s="2563" t="s">
        <v>2550</v>
      </c>
      <c r="G95" s="2563" t="s">
        <v>2551</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2422</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875" style="1401" customWidth="1"/>
    <col min="2" max="2" width="20.875" style="1516" customWidth="1"/>
    <col min="3" max="4" width="12" style="1402"/>
    <col min="5" max="5" width="14.625" style="1402" customWidth="1"/>
    <col min="6" max="8" width="12" style="1402"/>
    <col min="9" max="9" width="12.1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2423</v>
      </c>
      <c r="D1" s="1509">
        <f>SUM(D29:D30,D33:D39)</f>
        <v>0</v>
      </c>
      <c r="E1" s="1403" t="s">
        <v>2424</v>
      </c>
      <c r="F1" s="2417"/>
      <c r="G1" s="1398"/>
      <c r="H1" s="1398"/>
      <c r="I1" s="1398"/>
      <c r="J1" s="1398"/>
      <c r="K1" s="1398"/>
      <c r="L1" s="1868" t="s">
        <v>2235</v>
      </c>
      <c r="M1" s="1869">
        <f>SUMPRODUCT((区片价!B5:B9=I2)*(区片价!C3:F3=E2)*(区片价!C5:F9))</f>
        <v>0</v>
      </c>
      <c r="N1" s="1870">
        <f>SUMPRODUCT((因素修正幅度!B5:B9=I2)*(因素修正幅度!C3:F3=E2)*(因素修正幅度!C5:F9))</f>
        <v>0</v>
      </c>
      <c r="O1" s="1398"/>
      <c r="P1" s="1398"/>
      <c r="Q1" s="2175"/>
      <c r="R1" s="2892" t="s">
        <v>2757</v>
      </c>
      <c r="S1" s="2892" t="s">
        <v>2758</v>
      </c>
      <c r="T1" s="2892" t="s">
        <v>2779</v>
      </c>
      <c r="U1" s="2892" t="s">
        <v>2780</v>
      </c>
      <c r="V1" s="2892" t="s">
        <v>2781</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2236</v>
      </c>
      <c r="M2" s="1872">
        <f>SUMPRODUCT((区片价!B10:B28=I2)*(区片价!C3:F3=E2)*(区片价!C10:F28))</f>
        <v>0</v>
      </c>
      <c r="N2" s="1873">
        <f>SUMPRODUCT((因素修正幅度!B10:B28=I2)*(因素修正幅度!C3:F3=E2)*(因素修正幅度!C10:F28))</f>
        <v>0</v>
      </c>
      <c r="O2" s="1407"/>
      <c r="P2" s="1398"/>
      <c r="Q2" s="2175"/>
      <c r="R2" s="2893">
        <v>1</v>
      </c>
      <c r="S2" s="2893" t="e">
        <f>ROUND(IF(G3&gt;1,IF(R2&lt;7,SUMPRODUCT((B93:B98=R2)*(C92:N92=G2)*(C93:N98)),SUMIF(C92:N92,G2,C100:N100)),IF(R2&lt;7,SUMPRODUCT((B102:B107=R2)*(C92:N92=G2)*(C102:N107)),SUMIF(C92:N92,G2,C109:N109))),4)</f>
        <v>#DIV/0!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0</v>
      </c>
      <c r="H3" s="1411" t="s">
        <v>929</v>
      </c>
      <c r="I3" s="1040">
        <v>8</v>
      </c>
      <c r="J3" s="1407" t="s">
        <v>930</v>
      </c>
      <c r="K3" s="1407"/>
      <c r="L3" s="1871" t="s">
        <v>2237</v>
      </c>
      <c r="M3" s="1872">
        <f>SUMPRODUCT((区片价!B29:B48=I2)*(区片价!C3:F3=E2)*(区片价!C29:F48))</f>
        <v>0</v>
      </c>
      <c r="N3" s="1873">
        <f>SUMPRODUCT((因素修正幅度!B29:B48=I2)*(因素修正幅度!C3:F3=E2)*(因素修正幅度!C29:F48))</f>
        <v>0</v>
      </c>
      <c r="O3" s="1407"/>
      <c r="P3" s="1398"/>
      <c r="Q3" s="2175"/>
      <c r="R3" s="2893">
        <v>2</v>
      </c>
      <c r="S3" s="2893" t="e">
        <f>ROUND(IF(G3&gt;1,IF(R3&lt;7,SUMPRODUCT((B93:B98=R3)*(C92:N92=G2)*(C93:N98)),SUMIF(C92:N92,G2,C100:N100)),IF(R3&lt;7,SUMPRODUCT((B102:B107=R3)*(C92:N92=G2)*(C102:N107)),SUMIF(C92:N92,G2,C109:N109))),4)</f>
        <v>#DIV/0!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2277</v>
      </c>
      <c r="B4" s="2418" t="e">
        <f>ROUND(B2*10000/F1,0)</f>
        <v>#DIV/0!</v>
      </c>
      <c r="C4" s="1880" t="s">
        <v>2251</v>
      </c>
      <c r="D4" s="1880" t="e">
        <f>ROUND(B2/(F1/666.67),0)</f>
        <v>#DIV/0!</v>
      </c>
      <c r="E4" s="1880" t="s">
        <v>2252</v>
      </c>
      <c r="F4" s="1878"/>
      <c r="G4" s="1878"/>
      <c r="H4" s="1878"/>
      <c r="I4" s="1878"/>
      <c r="J4" s="1879"/>
      <c r="K4" s="3149"/>
      <c r="L4" s="1871" t="s">
        <v>2238</v>
      </c>
      <c r="M4" s="1872">
        <f>SUMPRODUCT((区片价!B49:B75=I2)*(区片价!C3:F3=E2)*(区片价!C49:F75))</f>
        <v>0</v>
      </c>
      <c r="N4" s="1873">
        <f>SUMPRODUCT((因素修正幅度!B49:B75=I2)*(因素修正幅度!C3:F3=E2)*(因素修正幅度!C49:F75))</f>
        <v>0</v>
      </c>
      <c r="O4" s="3149"/>
      <c r="P4" s="1398"/>
      <c r="Q4" s="2175"/>
      <c r="R4" s="2893">
        <v>3</v>
      </c>
      <c r="S4" s="2893" t="e">
        <f>ROUND(IF(G3&gt;1,IF(R4&lt;7,SUMPRODUCT((B93:B98=R4)*(C92:N92=G2)*(C93:N98)),SUMIF(C92:N92,G2,C100:N100)),IF(R4&lt;7,SUMPRODUCT((B102:B107=R4)*(C92:N92=G2)*(C102:N107)),SUMIF(C92:N92,G2,C109:N109))),4)</f>
        <v>#DIV/0!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2239</v>
      </c>
      <c r="M5" s="1872">
        <f>SUMPRODUCT((区片价!B76:B109=I2)*(区片价!C3:F3=E2)*(区片价!C76:F109))</f>
        <v>0</v>
      </c>
      <c r="N5" s="1873">
        <f>SUMPRODUCT((因素修正幅度!B76:B109=I2)*(因素修正幅度!C3:F3=E2)*(因素修正幅度!C76:F109))</f>
        <v>0</v>
      </c>
      <c r="O5" s="3150"/>
      <c r="P5" s="1581"/>
      <c r="Q5" s="2175"/>
      <c r="R5" s="2893">
        <v>4</v>
      </c>
      <c r="S5" s="2893" t="e">
        <f>ROUND(IF(G3&gt;1,IF(R5&lt;7,SUMPRODUCT((B93:B98=R5)*(C92:N92=G2)*(C93:N98)),SUMIF(C92:N92,G2,C100:N100)),IF(R5&lt;7,SUMPRODUCT((B102:B107=R5)*(C92:N92=G2)*(C102:N107)),SUMIF(C92:N92,G2,C109:N109))),4)</f>
        <v>#DIV/0!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2240</v>
      </c>
      <c r="M6" s="1872">
        <f>SUMPRODUCT((区片价!B110:B157=I2)*(区片价!C3:F3=E2)*(区片价!C110:F157))</f>
        <v>0</v>
      </c>
      <c r="N6" s="1873">
        <f>SUMPRODUCT((因素修正幅度!B110:B157=I2)*(因素修正幅度!C3:F3=E2)*(因素修正幅度!C110:F157))</f>
        <v>0</v>
      </c>
      <c r="O6" s="1453"/>
      <c r="P6" s="1582"/>
      <c r="Q6" s="2175"/>
      <c r="R6" s="2893">
        <v>5</v>
      </c>
      <c r="S6" s="2893" t="e">
        <f>ROUND(IF(G3&gt;1,IF(R6&lt;7,SUMPRODUCT((B93:B98=R6)*(C92:N92=G2)*(C93:N98)),SUMIF(C92:N92,G2,C100:N100)),IF(R6&lt;7,SUMPRODUCT((B102:B107=R6)*(C92:N92=G2)*(C102:N107)),SUMIF(C92:N92,G2,C109:N109))),4)</f>
        <v>#DIV/0!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19" t="str">
        <f>IF(E2="商业",IF(C8="不临58条商业街","",2),"")</f>
        <v/>
      </c>
      <c r="B7" s="1424" t="s">
        <v>932</v>
      </c>
      <c r="C7" s="1043" t="e">
        <f>IF(C8="不临58条商业街",1,ROUND(1+(1.6*E8+1.2*E9+0.8*E10+0.4*E11)*C9,4))</f>
        <v>#DIV/0!</v>
      </c>
      <c r="D7" s="1425" t="s">
        <v>933</v>
      </c>
      <c r="E7" s="1044"/>
      <c r="F7" s="1426"/>
      <c r="G7" s="1427"/>
      <c r="H7" s="1427"/>
      <c r="I7" s="1427"/>
      <c r="J7" s="1428"/>
      <c r="K7" s="1453"/>
      <c r="L7" s="1871" t="s">
        <v>2241</v>
      </c>
      <c r="M7" s="1872">
        <f>SUMPRODUCT((区片价!B158:B205=I2)*(区片价!C3:F3=E2)*(区片价!C158:F205))</f>
        <v>0</v>
      </c>
      <c r="N7" s="1873">
        <f>SUMPRODUCT((因素修正幅度!B158:B205=I2)*(因素修正幅度!C3:F3=E2)*(因素修正幅度!C158:F205))</f>
        <v>0</v>
      </c>
      <c r="O7" s="1453"/>
      <c r="P7" s="1582"/>
      <c r="Q7" s="2175"/>
      <c r="R7" s="2893">
        <v>6</v>
      </c>
      <c r="S7" s="2893" t="e">
        <f>ROUND(IF(G3&gt;1,IF(R7&lt;7,SUMPRODUCT((B93:B98=R7)*(C92:N92=G2)*(C93:N98)),SUMIF(C92:N92,G2,C100:N100)),IF(R7&lt;7,SUMPRODUCT((B102:B107=R7)*(C92:N92=G2)*(C102:N107)),SUMIF(C92:N92,G2,C109:N109))),4)</f>
        <v>#DIV/0!</v>
      </c>
      <c r="T7" s="2893" t="e">
        <f t="shared" si="0"/>
        <v>#DIV/0!</v>
      </c>
      <c r="U7" s="2882"/>
      <c r="V7" s="2893" t="e">
        <f t="shared" si="1"/>
        <v>#DIV/0!</v>
      </c>
      <c r="W7" s="2891" t="s">
        <v>2760</v>
      </c>
      <c r="X7" s="2883">
        <f>G2</f>
        <v>0</v>
      </c>
      <c r="Y7" s="2883" t="s">
        <v>2761</v>
      </c>
      <c r="Z7" s="2884">
        <f>G3</f>
        <v>0</v>
      </c>
      <c r="AA7" s="2178"/>
      <c r="AB7" s="2178"/>
      <c r="AC7" s="2179"/>
      <c r="AD7" s="2885"/>
      <c r="AE7" s="2885"/>
      <c r="AF7" s="2885"/>
      <c r="AG7" s="2885"/>
      <c r="AH7" s="2885"/>
      <c r="AI7" s="2885"/>
      <c r="AJ7" s="2886"/>
    </row>
    <row r="8" spans="1:39" ht="15">
      <c r="A8" s="3420"/>
      <c r="B8" s="1411" t="s">
        <v>934</v>
      </c>
      <c r="C8" s="1517"/>
      <c r="D8" s="1045" t="s">
        <v>935</v>
      </c>
      <c r="E8" s="1046" t="e">
        <f>ROUND(C11/E7,4)</f>
        <v>#DIV/0!</v>
      </c>
      <c r="F8" s="1429" t="s">
        <v>936</v>
      </c>
      <c r="G8" s="1430"/>
      <c r="H8" s="1430"/>
      <c r="I8" s="1430"/>
      <c r="J8" s="1431"/>
      <c r="K8" s="1453"/>
      <c r="L8" s="1871" t="s">
        <v>2242</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09" t="s">
        <v>2778</v>
      </c>
      <c r="X8" s="3410"/>
      <c r="Y8" s="1835" t="s">
        <v>2762</v>
      </c>
      <c r="Z8" s="1835" t="s">
        <v>2763</v>
      </c>
      <c r="AA8" s="1835" t="s">
        <v>2764</v>
      </c>
      <c r="AB8" s="1835" t="s">
        <v>2765</v>
      </c>
      <c r="AC8" s="1835" t="s">
        <v>2766</v>
      </c>
      <c r="AD8" s="1835" t="s">
        <v>2767</v>
      </c>
      <c r="AE8" s="1835" t="s">
        <v>2768</v>
      </c>
      <c r="AF8" s="1835" t="s">
        <v>2769</v>
      </c>
      <c r="AG8" s="1835" t="s">
        <v>2770</v>
      </c>
      <c r="AH8" s="1835" t="s">
        <v>2771</v>
      </c>
      <c r="AI8" s="1835" t="s">
        <v>2772</v>
      </c>
      <c r="AJ8" s="1835" t="s">
        <v>2773</v>
      </c>
    </row>
    <row r="9" spans="1:39" ht="15">
      <c r="A9" s="3420"/>
      <c r="B9" s="1411" t="s">
        <v>937</v>
      </c>
      <c r="C9" s="1047">
        <f>SUMIF(修正!C59:C119,C8,修正!E59:E119)</f>
        <v>0</v>
      </c>
      <c r="D9" s="1048" t="s">
        <v>938</v>
      </c>
      <c r="E9" s="1048" t="e">
        <f>ROUND(C11/E7,4)</f>
        <v>#DIV/0!</v>
      </c>
      <c r="F9" s="1429" t="s">
        <v>939</v>
      </c>
      <c r="G9" s="1430"/>
      <c r="H9" s="1430"/>
      <c r="I9" s="1430"/>
      <c r="J9" s="1431"/>
      <c r="K9" s="1453"/>
      <c r="L9" s="1871" t="s">
        <v>2243</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08" t="s">
        <v>2774</v>
      </c>
      <c r="X9" s="2887" t="s">
        <v>2775</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20"/>
      <c r="B10" s="1411" t="s">
        <v>940</v>
      </c>
      <c r="C10" s="1048">
        <f>SUMIF(修正!C59:C119,C8,修正!F59:F119)</f>
        <v>0</v>
      </c>
      <c r="D10" s="1048" t="s">
        <v>941</v>
      </c>
      <c r="E10" s="1048" t="e">
        <f>ROUND(C11/E7,4)</f>
        <v>#DIV/0!</v>
      </c>
      <c r="F10" s="1429" t="s">
        <v>942</v>
      </c>
      <c r="G10" s="1430"/>
      <c r="H10" s="1430"/>
      <c r="I10" s="1430"/>
      <c r="J10" s="1431"/>
      <c r="K10" s="1453"/>
      <c r="L10" s="1871" t="s">
        <v>2244</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08"/>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20"/>
      <c r="B11" s="1432" t="s">
        <v>943</v>
      </c>
      <c r="C11" s="1049">
        <f>C10/4</f>
        <v>0</v>
      </c>
      <c r="D11" s="1049" t="s">
        <v>944</v>
      </c>
      <c r="E11" s="1049" t="e">
        <f>ROUND(C11/E7,4)</f>
        <v>#DIV/0!</v>
      </c>
      <c r="F11" s="1433" t="s">
        <v>945</v>
      </c>
      <c r="G11" s="1434"/>
      <c r="H11" s="1434"/>
      <c r="I11" s="1434"/>
      <c r="J11" s="1435"/>
      <c r="K11" s="1453"/>
      <c r="L11" s="1871" t="s">
        <v>2245</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08" t="s">
        <v>2776</v>
      </c>
      <c r="X11" s="1048" t="s">
        <v>2761</v>
      </c>
      <c r="Y11" s="1639">
        <f>$G$3</f>
        <v>0</v>
      </c>
      <c r="Z11" s="1639">
        <f t="shared" ref="Z11:AJ11" si="3">$G$3</f>
        <v>0</v>
      </c>
      <c r="AA11" s="1639">
        <f t="shared" si="3"/>
        <v>0</v>
      </c>
      <c r="AB11" s="1639">
        <f t="shared" si="3"/>
        <v>0</v>
      </c>
      <c r="AC11" s="1639">
        <f t="shared" si="3"/>
        <v>0</v>
      </c>
      <c r="AD11" s="1639">
        <f t="shared" si="3"/>
        <v>0</v>
      </c>
      <c r="AE11" s="1639">
        <f t="shared" si="3"/>
        <v>0</v>
      </c>
      <c r="AF11" s="1639">
        <f t="shared" si="3"/>
        <v>0</v>
      </c>
      <c r="AG11" s="1639">
        <f t="shared" si="3"/>
        <v>0</v>
      </c>
      <c r="AH11" s="1639">
        <f t="shared" si="3"/>
        <v>0</v>
      </c>
      <c r="AI11" s="1639">
        <f t="shared" si="3"/>
        <v>0</v>
      </c>
      <c r="AJ11" s="1639">
        <f t="shared" si="3"/>
        <v>0</v>
      </c>
    </row>
    <row r="12" spans="1:39" ht="25.5" thickBot="1">
      <c r="A12" s="3419" t="s">
        <v>1871</v>
      </c>
      <c r="B12" s="1436" t="s">
        <v>946</v>
      </c>
      <c r="C12" s="1043">
        <f>ROUND(C15*D15*E15*F15*G15*H15*I15*J15,4)</f>
        <v>1</v>
      </c>
      <c r="D12" s="1437" t="s">
        <v>947</v>
      </c>
      <c r="E12" s="1438"/>
      <c r="F12" s="1438"/>
      <c r="G12" s="1439"/>
      <c r="H12" s="1439"/>
      <c r="I12" s="1439"/>
      <c r="J12" s="1440"/>
      <c r="K12" s="1453"/>
      <c r="L12" s="1874" t="s">
        <v>2246</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08"/>
      <c r="X12" s="2890" t="s">
        <v>2777</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21"/>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08"/>
      <c r="X13" s="2890"/>
      <c r="Y13" s="2889" t="e">
        <f>(-0.163*(Y12^2)-0.59*Y12+7617)*(10^(-4))/Y11</f>
        <v>#DIV/0!</v>
      </c>
      <c r="Z13" s="2889" t="e">
        <f t="shared" ref="Z13:AJ13" si="5">(-0.163*(Z12^2)-0.59*Z12+7617)*(10^(-4))/Z11</f>
        <v>#DIV/0!</v>
      </c>
      <c r="AA13" s="2889" t="e">
        <f t="shared" si="5"/>
        <v>#DIV/0!</v>
      </c>
      <c r="AB13" s="2889" t="e">
        <f t="shared" si="5"/>
        <v>#DIV/0!</v>
      </c>
      <c r="AC13" s="2889" t="e">
        <f t="shared" si="5"/>
        <v>#DIV/0!</v>
      </c>
      <c r="AD13" s="2889" t="e">
        <f t="shared" si="5"/>
        <v>#DIV/0!</v>
      </c>
      <c r="AE13" s="2889" t="e">
        <f t="shared" si="5"/>
        <v>#DIV/0!</v>
      </c>
      <c r="AF13" s="2889" t="e">
        <f t="shared" si="5"/>
        <v>#DIV/0!</v>
      </c>
      <c r="AG13" s="2889" t="e">
        <f t="shared" si="5"/>
        <v>#DIV/0!</v>
      </c>
      <c r="AH13" s="2889" t="e">
        <f t="shared" si="5"/>
        <v>#DIV/0!</v>
      </c>
      <c r="AI13" s="2889" t="e">
        <f t="shared" si="5"/>
        <v>#DIV/0!</v>
      </c>
      <c r="AJ13" s="2889" t="e">
        <f t="shared" si="5"/>
        <v>#DIV/0!</v>
      </c>
    </row>
    <row r="14" spans="1:39" ht="12.75" customHeight="1">
      <c r="A14" s="3421"/>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22"/>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19" t="s">
        <v>1838</v>
      </c>
      <c r="B16" s="1424" t="s">
        <v>950</v>
      </c>
      <c r="C16" s="1052" t="e">
        <f>ROUND(IF(F17="与级别开发程度一致",0,(G17-E17)/C17),0)</f>
        <v>#DIV/0!</v>
      </c>
      <c r="D16" s="3416" t="s">
        <v>954</v>
      </c>
      <c r="E16" s="3417"/>
      <c r="F16" s="3416" t="s">
        <v>951</v>
      </c>
      <c r="G16" s="3417"/>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23"/>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ROUND(IF(H19="按公示增长率计算",SUMPRODUCT((地价!A3:A29=YEAR(G19)&amp;"-"&amp;ROUNDUP(MONTH(G19)/3,0))*(地价!X2:AB2=E2)*(地价!X3:AB29)),IF(H19="地价指数",M20/M19,(1+I19)^O19)),4)</f>
        <v>0</v>
      </c>
      <c r="D19" s="1463" t="s">
        <v>957</v>
      </c>
      <c r="E19" s="1054">
        <v>41640</v>
      </c>
      <c r="F19" s="1463" t="s">
        <v>958</v>
      </c>
      <c r="G19" s="1055">
        <f>'数据-取费表'!B2</f>
        <v>43927</v>
      </c>
      <c r="H19" s="1464" t="s">
        <v>2986</v>
      </c>
      <c r="I19" s="2741" t="str">
        <f>IF(H19="季度增幅（自定义）",SUMIF(N21:N24,E2,O21:O24),"")</f>
        <v/>
      </c>
      <c r="J19" s="1460"/>
      <c r="K19" s="3150"/>
      <c r="L19" s="2993" t="s">
        <v>2836</v>
      </c>
      <c r="M19" s="2994">
        <f>ROUND(SUMIF(地价!B2:F2,E2,地价!B29:F29),0)</f>
        <v>0</v>
      </c>
      <c r="N19" s="2743" t="s">
        <v>1676</v>
      </c>
      <c r="O19" s="2742">
        <f>ROUNDDOWN(DATEDIF(E19,G19,"M")/3,0)</f>
        <v>25</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2837</v>
      </c>
      <c r="M20" s="3159">
        <f>ROUND(SUMPRODUCT((地价!A4:A29=YEAR(G19)&amp;"-"&amp;ROUNDUP(MONTH(G19)/3,0))*(地价!B2:F2=E2)*(地价!B4:F29)),0)</f>
        <v>0</v>
      </c>
      <c r="N20" s="2746" t="s">
        <v>2640</v>
      </c>
      <c r="O20" s="2744" t="s">
        <v>2639</v>
      </c>
      <c r="P20" s="2745" t="s">
        <v>2645</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2756</v>
      </c>
      <c r="C21" s="1154">
        <f>IF(B21="容积率修正",IF(G3&lt;=10,D22,J22),C23)</f>
        <v>0</v>
      </c>
      <c r="D21" s="1470"/>
      <c r="E21" s="1470"/>
      <c r="F21" s="1470"/>
      <c r="G21" s="1470"/>
      <c r="H21" s="1470"/>
      <c r="I21" s="1470"/>
      <c r="J21" s="1471"/>
      <c r="K21" s="3150"/>
      <c r="L21" s="1470"/>
      <c r="M21" s="1470"/>
      <c r="N21" s="1467" t="s">
        <v>975</v>
      </c>
      <c r="O21" s="1530"/>
      <c r="P21" s="2733">
        <f>SUMPRODUCT((地价!A3:A29=YEAR(G19)&amp;"-"&amp;ROUNDUP(MONTH(G19)/3,0))*(地价!AD2:AH2=N21)*(地价!AD3:AH29))</f>
        <v>0</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0</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0</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SUMPRODUCT((地价!A3:A29=YEAR(G19)&amp;"-"&amp;ROUNDUP(MONTH(G19)/3,0))*(地价!AD2:AH2=N22)*(地价!AD3:AH29))</f>
        <v>0</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SUMPRODUCT((地价!A3:A29=YEAR(G19)&amp;"-"&amp;ROUNDUP(MONTH(G19)/3,0))*(地价!AD2:AH2=N23)*(地价!AD3:AH29))</f>
        <v>0</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SUMPRODUCT((地价!A3:A29=YEAR(G19)&amp;"-"&amp;ROUNDUP(MONTH(G19)/3,0))*(地价!AD2:AH2=N24)*(地价!AD3:AH29))</f>
        <v>0</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2643</v>
      </c>
      <c r="O25" s="3161"/>
      <c r="P25" s="2412">
        <f>SUMPRODUCT((地价!A3:A29=YEAR(G19)&amp;"-"&amp;ROUNDUP(MONTH(G19)/3,0))*(地价!AD2:AH2=N25)*(地价!AD3:AH29))</f>
        <v>0</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26" t="s">
        <v>2956</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27"/>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27"/>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28"/>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2980</v>
      </c>
      <c r="C41" s="839" t="e">
        <f>ROUND(POWER(1+E41,H41-G41)*(POWER(1+E41,G41)-1)/(POWER(1+E41,H41)-1),4)</f>
        <v>#DIV/0!</v>
      </c>
      <c r="D41" s="378" t="s">
        <v>2978</v>
      </c>
      <c r="E41" s="3147">
        <f>G20</f>
        <v>0</v>
      </c>
      <c r="F41" s="378" t="s">
        <v>2979</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2247</v>
      </c>
      <c r="G46" s="2396" t="s">
        <v>1014</v>
      </c>
      <c r="H46" s="2379" t="s">
        <v>2415</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2933</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2932</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2248</v>
      </c>
      <c r="G57" s="2396" t="s">
        <v>1014</v>
      </c>
      <c r="H57" s="2379" t="s">
        <v>2415</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2934</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2932</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2249</v>
      </c>
      <c r="G68" s="2396" t="s">
        <v>1014</v>
      </c>
      <c r="H68" s="2379" t="s">
        <v>2415</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2932</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2250</v>
      </c>
      <c r="G79" s="2396" t="s">
        <v>1014</v>
      </c>
      <c r="H79" s="2379" t="s">
        <v>2415</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2932</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24" t="s">
        <v>1633</v>
      </c>
      <c r="B90" s="3424"/>
      <c r="C90" s="3424"/>
      <c r="D90" s="3424"/>
      <c r="E90" s="3424"/>
      <c r="F90" s="3424"/>
      <c r="G90" s="3424"/>
      <c r="H90" s="3424"/>
      <c r="I90" s="3424"/>
      <c r="J90" s="3424"/>
      <c r="K90" s="2415"/>
      <c r="L90" s="2415"/>
      <c r="M90" s="2415"/>
      <c r="N90" s="2415"/>
    </row>
    <row r="91" spans="1:40">
      <c r="A91" s="3425" t="s">
        <v>1443</v>
      </c>
      <c r="B91" s="3425" t="s">
        <v>1634</v>
      </c>
      <c r="C91" s="1136" t="s">
        <v>1635</v>
      </c>
      <c r="D91" s="1137"/>
      <c r="E91" s="1137"/>
      <c r="F91" s="1137"/>
      <c r="G91" s="1137"/>
      <c r="H91" s="1137"/>
      <c r="I91" s="1137"/>
      <c r="J91" s="1138"/>
      <c r="K91" s="1130"/>
      <c r="L91" s="1130"/>
      <c r="M91" s="1130"/>
      <c r="N91" s="1130"/>
    </row>
    <row r="92" spans="1:40">
      <c r="A92" s="3425"/>
      <c r="B92" s="3425"/>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11" t="s">
        <v>2759</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12"/>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12"/>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12"/>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12"/>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12"/>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12"/>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13"/>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11" t="s">
        <v>1637</v>
      </c>
      <c r="B101" s="1143" t="s">
        <v>906</v>
      </c>
      <c r="C101" s="1144">
        <f>$G$3</f>
        <v>0</v>
      </c>
      <c r="D101" s="1144">
        <f t="shared" ref="D101:N101" si="31">$G$3</f>
        <v>0</v>
      </c>
      <c r="E101" s="1144">
        <f t="shared" si="31"/>
        <v>0</v>
      </c>
      <c r="F101" s="1144">
        <f t="shared" si="31"/>
        <v>0</v>
      </c>
      <c r="G101" s="1144">
        <f t="shared" si="31"/>
        <v>0</v>
      </c>
      <c r="H101" s="1144">
        <f t="shared" si="31"/>
        <v>0</v>
      </c>
      <c r="I101" s="1144">
        <f t="shared" si="31"/>
        <v>0</v>
      </c>
      <c r="J101" s="1144">
        <f t="shared" si="31"/>
        <v>0</v>
      </c>
      <c r="K101" s="1144">
        <f t="shared" si="31"/>
        <v>0</v>
      </c>
      <c r="L101" s="1144">
        <f t="shared" si="31"/>
        <v>0</v>
      </c>
      <c r="M101" s="1144">
        <f t="shared" si="31"/>
        <v>0</v>
      </c>
      <c r="N101" s="1144">
        <f t="shared" si="31"/>
        <v>0</v>
      </c>
    </row>
    <row r="102" spans="1:14">
      <c r="A102" s="3412"/>
      <c r="B102" s="1139">
        <v>1</v>
      </c>
      <c r="C102" s="1140" t="e">
        <f>1.9362/C101</f>
        <v>#DIV/0!</v>
      </c>
      <c r="D102" s="1140" t="e">
        <f>1.9362/D101</f>
        <v>#DIV/0!</v>
      </c>
      <c r="E102" s="1140" t="e">
        <f>1.8629/E101</f>
        <v>#DIV/0!</v>
      </c>
      <c r="F102" s="1140" t="e">
        <f>1.8629/F101</f>
        <v>#DIV/0!</v>
      </c>
      <c r="G102" s="1140" t="e">
        <f>1.8629/G101</f>
        <v>#DIV/0!</v>
      </c>
      <c r="H102" s="1140" t="e">
        <f>1.8629/H101</f>
        <v>#DIV/0!</v>
      </c>
      <c r="I102" s="1140" t="e">
        <f>1.8629/I101</f>
        <v>#DIV/0!</v>
      </c>
      <c r="J102" s="1140" t="e">
        <f>1.942/J101</f>
        <v>#DIV/0!</v>
      </c>
      <c r="K102" s="1140" t="e">
        <f>1.942/K101</f>
        <v>#DIV/0!</v>
      </c>
      <c r="L102" s="1140" t="e">
        <f>1.942/L101</f>
        <v>#DIV/0!</v>
      </c>
      <c r="M102" s="1140" t="e">
        <f>1.942/M101</f>
        <v>#DIV/0!</v>
      </c>
      <c r="N102" s="1140" t="e">
        <f>1.942/N101</f>
        <v>#DIV/0!</v>
      </c>
    </row>
    <row r="103" spans="1:14">
      <c r="A103" s="3412"/>
      <c r="B103" s="1139">
        <v>2</v>
      </c>
      <c r="C103" s="1140" t="e">
        <f>1.4198/C101</f>
        <v>#DIV/0!</v>
      </c>
      <c r="D103" s="1140" t="e">
        <f>1.4198/D101</f>
        <v>#DIV/0!</v>
      </c>
      <c r="E103" s="1140" t="e">
        <f>1.3372/E101</f>
        <v>#DIV/0!</v>
      </c>
      <c r="F103" s="1140" t="e">
        <f>1.3372/F101</f>
        <v>#DIV/0!</v>
      </c>
      <c r="G103" s="1140" t="e">
        <f>1.3372/G101</f>
        <v>#DIV/0!</v>
      </c>
      <c r="H103" s="1140" t="e">
        <f>1.3372/H101</f>
        <v>#DIV/0!</v>
      </c>
      <c r="I103" s="1140" t="e">
        <f>1.3372/I101</f>
        <v>#DIV/0!</v>
      </c>
      <c r="J103" s="1140" t="e">
        <f>1.2799/J101</f>
        <v>#DIV/0!</v>
      </c>
      <c r="K103" s="1140" t="e">
        <f>1.2799/K101</f>
        <v>#DIV/0!</v>
      </c>
      <c r="L103" s="1140" t="e">
        <f>1.2799/L101</f>
        <v>#DIV/0!</v>
      </c>
      <c r="M103" s="1140" t="e">
        <f>1.2799/M101</f>
        <v>#DIV/0!</v>
      </c>
      <c r="N103" s="1140" t="e">
        <f>1.2799/N101</f>
        <v>#DIV/0!</v>
      </c>
    </row>
    <row r="104" spans="1:14">
      <c r="A104" s="3412"/>
      <c r="B104" s="1139">
        <v>3</v>
      </c>
      <c r="C104" s="1140" t="e">
        <f>1.1594/C101</f>
        <v>#DIV/0!</v>
      </c>
      <c r="D104" s="1140" t="e">
        <f>1.1594/D101</f>
        <v>#DIV/0!</v>
      </c>
      <c r="E104" s="1140" t="e">
        <f>1.0788/E101</f>
        <v>#DIV/0!</v>
      </c>
      <c r="F104" s="1140" t="e">
        <f>1.0788/F101</f>
        <v>#DIV/0!</v>
      </c>
      <c r="G104" s="1140" t="e">
        <f>1.0788/G101</f>
        <v>#DIV/0!</v>
      </c>
      <c r="H104" s="1140" t="e">
        <f>1.0788/H101</f>
        <v>#DIV/0!</v>
      </c>
      <c r="I104" s="1140" t="e">
        <f>1.0788/I101</f>
        <v>#DIV/0!</v>
      </c>
      <c r="J104" s="1140" t="e">
        <f>1.0072/J101</f>
        <v>#DIV/0!</v>
      </c>
      <c r="K104" s="1140" t="e">
        <f>1.0072/K101</f>
        <v>#DIV/0!</v>
      </c>
      <c r="L104" s="1140" t="e">
        <f>1.0072/L101</f>
        <v>#DIV/0!</v>
      </c>
      <c r="M104" s="1140" t="e">
        <f>1.0072/M101</f>
        <v>#DIV/0!</v>
      </c>
      <c r="N104" s="1140" t="e">
        <f>1.0072/N101</f>
        <v>#DIV/0!</v>
      </c>
    </row>
    <row r="105" spans="1:14">
      <c r="A105" s="3412"/>
      <c r="B105" s="1139">
        <v>4</v>
      </c>
      <c r="C105" s="1140" t="e">
        <f>0.9622/C101</f>
        <v>#DIV/0!</v>
      </c>
      <c r="D105" s="1140" t="e">
        <f>0.9622/D101</f>
        <v>#DIV/0!</v>
      </c>
      <c r="E105" s="1140" t="e">
        <f>0.8656/E101</f>
        <v>#DIV/0!</v>
      </c>
      <c r="F105" s="1140" t="e">
        <f>0.8656/F101</f>
        <v>#DIV/0!</v>
      </c>
      <c r="G105" s="1140" t="e">
        <f>0.8656/G101</f>
        <v>#DIV/0!</v>
      </c>
      <c r="H105" s="1140" t="e">
        <f>0.8656/H101</f>
        <v>#DIV/0!</v>
      </c>
      <c r="I105" s="1140" t="e">
        <f>0.8656/I101</f>
        <v>#DIV/0!</v>
      </c>
      <c r="J105" s="1140" t="e">
        <f>0.7525/J101</f>
        <v>#DIV/0!</v>
      </c>
      <c r="K105" s="1140" t="e">
        <f>0.7525/K101</f>
        <v>#DIV/0!</v>
      </c>
      <c r="L105" s="1140" t="e">
        <f>0.7525/L101</f>
        <v>#DIV/0!</v>
      </c>
      <c r="M105" s="1140" t="e">
        <f>0.7525/M101</f>
        <v>#DIV/0!</v>
      </c>
      <c r="N105" s="1140" t="e">
        <f>0.7525/N101</f>
        <v>#DIV/0!</v>
      </c>
    </row>
    <row r="106" spans="1:14">
      <c r="A106" s="3412"/>
      <c r="B106" s="1139">
        <v>5</v>
      </c>
      <c r="C106" s="1140" t="e">
        <f>0.8417/C101</f>
        <v>#DIV/0!</v>
      </c>
      <c r="D106" s="1140" t="e">
        <f>0.8417/D101</f>
        <v>#DIV/0!</v>
      </c>
      <c r="E106" s="1140" t="e">
        <f>0.7371/E101</f>
        <v>#DIV/0!</v>
      </c>
      <c r="F106" s="1140" t="e">
        <f>0.7371/F101</f>
        <v>#DIV/0!</v>
      </c>
      <c r="G106" s="1140" t="e">
        <f>0.7371/G101</f>
        <v>#DIV/0!</v>
      </c>
      <c r="H106" s="1140" t="e">
        <f>0.7371/H101</f>
        <v>#DIV/0!</v>
      </c>
      <c r="I106" s="1140" t="e">
        <f>0.7371/I101</f>
        <v>#DIV/0!</v>
      </c>
      <c r="J106" s="1140" t="e">
        <f>0.5659/J101</f>
        <v>#DIV/0!</v>
      </c>
      <c r="K106" s="1140" t="e">
        <f>0.5659/K101</f>
        <v>#DIV/0!</v>
      </c>
      <c r="L106" s="1140" t="e">
        <f>0.5659/L101</f>
        <v>#DIV/0!</v>
      </c>
      <c r="M106" s="1140" t="e">
        <f>0.5659/M101</f>
        <v>#DIV/0!</v>
      </c>
      <c r="N106" s="1140" t="e">
        <f>0.5659/N101</f>
        <v>#DIV/0!</v>
      </c>
    </row>
    <row r="107" spans="1:14">
      <c r="A107" s="3412"/>
      <c r="B107" s="1139">
        <v>6</v>
      </c>
      <c r="C107" s="1140" t="e">
        <f>0.7608/C101</f>
        <v>#DIV/0!</v>
      </c>
      <c r="D107" s="1140" t="e">
        <f>0.7608/D101</f>
        <v>#DIV/0!</v>
      </c>
      <c r="E107" s="1140" t="e">
        <f>0.6482/E101</f>
        <v>#DIV/0!</v>
      </c>
      <c r="F107" s="1140" t="e">
        <f>0.6482/F101</f>
        <v>#DIV/0!</v>
      </c>
      <c r="G107" s="1140" t="e">
        <f>0.6482/G101</f>
        <v>#DIV/0!</v>
      </c>
      <c r="H107" s="1140" t="e">
        <f>0.6482/H101</f>
        <v>#DIV/0!</v>
      </c>
      <c r="I107" s="1140" t="e">
        <f>0.6482/I101</f>
        <v>#DIV/0!</v>
      </c>
      <c r="J107" s="1140" t="e">
        <f>0.4525/J101</f>
        <v>#DIV/0!</v>
      </c>
      <c r="K107" s="1140" t="e">
        <f>0.4525/K101</f>
        <v>#DIV/0!</v>
      </c>
      <c r="L107" s="1140" t="e">
        <f>0.4525/L101</f>
        <v>#DIV/0!</v>
      </c>
      <c r="M107" s="1140" t="e">
        <f>0.4525/M101</f>
        <v>#DIV/0!</v>
      </c>
      <c r="N107" s="1140" t="e">
        <f>0.4525/N101</f>
        <v>#DIV/0!</v>
      </c>
    </row>
    <row r="108" spans="1:14">
      <c r="A108" s="3412"/>
      <c r="B108" s="3414"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13"/>
      <c r="B109" s="3415"/>
      <c r="C109" s="1142" t="e">
        <f>(-0.163*(C108^2)-0.59*C108+7617)*(10^(-4))/C101</f>
        <v>#DIV/0!</v>
      </c>
      <c r="D109" s="1142" t="e">
        <f>(-0.163*(D108^2)-0.59*D108+7617)*(10^(-4))/D101</f>
        <v>#DIV/0!</v>
      </c>
      <c r="E109" s="1142" t="e">
        <f>(-0.161*(E108^2)-7.509*E108+6533)*(10^(-4))/E101</f>
        <v>#DIV/0!</v>
      </c>
      <c r="F109" s="1142" t="e">
        <f>(-0.161*(F108^2)-7.509*F108+6533)*(10^(-4))/F101</f>
        <v>#DIV/0!</v>
      </c>
      <c r="G109" s="1142" t="e">
        <f>(-0.161*(G108^2)-7.509*G108+6533)*(10^(-4))/G101</f>
        <v>#DIV/0!</v>
      </c>
      <c r="H109" s="1142" t="e">
        <f>(-0.161*(H108^2)-7.509*H108+6533)*(10^(-4))/H101</f>
        <v>#DIV/0!</v>
      </c>
      <c r="I109" s="1142" t="e">
        <f>(-0.161*(I108^2)-7.509*I108+6533)*(10^(-4))/I101</f>
        <v>#DIV/0!</v>
      </c>
      <c r="J109" s="1142" t="e">
        <f>(-0.214*(J108^2)-21.991*J108+4665)*(10^(-4))/J101</f>
        <v>#DIV/0!</v>
      </c>
      <c r="K109" s="1142" t="e">
        <f>(-0.214*(K108^2)-21.991*K108+4665)*(10^(-4))/K101</f>
        <v>#DIV/0!</v>
      </c>
      <c r="L109" s="1142" t="e">
        <f>(-0.214*(L108^2)-21.991*L108+4665)*(10^(-4))/L101</f>
        <v>#DIV/0!</v>
      </c>
      <c r="M109" s="1142" t="e">
        <f>(-0.214*(M108^2)-21.991*M108+4665)*(10^(-4))/M101</f>
        <v>#DIV/0!</v>
      </c>
      <c r="N109" s="1142" t="e">
        <f>(-0.214*(N108^2)-21.991*N108+4665)*(10^(-4))/N101</f>
        <v>#DIV/0!</v>
      </c>
    </row>
    <row r="110" spans="1:14">
      <c r="A110" s="3418" t="s">
        <v>1639</v>
      </c>
      <c r="B110" s="3418"/>
      <c r="C110" s="3418"/>
      <c r="D110" s="3418"/>
      <c r="E110" s="3418"/>
      <c r="F110" s="3418"/>
      <c r="G110" s="3418"/>
      <c r="H110" s="3418"/>
      <c r="I110" s="3418"/>
      <c r="J110" s="3418"/>
      <c r="K110" s="2413"/>
      <c r="L110" s="2413"/>
      <c r="M110" s="2413"/>
      <c r="N110" s="2413"/>
    </row>
    <row r="112" spans="1:14" ht="12.75" thickBot="1"/>
    <row r="113" spans="1:13" ht="25.5" thickBot="1">
      <c r="A113" s="1016" t="s">
        <v>896</v>
      </c>
      <c r="B113" s="2416">
        <f>G3</f>
        <v>0</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0.9335</v>
      </c>
      <c r="C115" s="1030">
        <f>B115</f>
        <v>0.9335</v>
      </c>
      <c r="D115" s="1030">
        <f>ROUND(0.8331-0.0109*B113,4)</f>
        <v>0.83309999999999995</v>
      </c>
      <c r="E115" s="1030">
        <f>D115</f>
        <v>0.83309999999999995</v>
      </c>
      <c r="F115" s="1030">
        <f>E115</f>
        <v>0.83309999999999995</v>
      </c>
      <c r="G115" s="1030">
        <f>F115</f>
        <v>0.83309999999999995</v>
      </c>
      <c r="H115" s="1030">
        <f>G115</f>
        <v>0.83309999999999995</v>
      </c>
      <c r="I115" s="1030">
        <f>ROUND(0.689-0.0155*B113,4)</f>
        <v>0.68899999999999995</v>
      </c>
      <c r="J115" s="1030">
        <f t="shared" ref="J115:M118" si="33">I115</f>
        <v>0.68899999999999995</v>
      </c>
      <c r="K115" s="1030">
        <f t="shared" si="33"/>
        <v>0.68899999999999995</v>
      </c>
      <c r="L115" s="1030">
        <f t="shared" si="33"/>
        <v>0.68899999999999995</v>
      </c>
      <c r="M115" s="1031">
        <f t="shared" si="33"/>
        <v>0.68899999999999995</v>
      </c>
    </row>
    <row r="116" spans="1:13" ht="12.75">
      <c r="A116" s="1029" t="s">
        <v>901</v>
      </c>
      <c r="B116" s="1030">
        <f>ROUND(0.949-0.012*B113,4)</f>
        <v>0.94899999999999995</v>
      </c>
      <c r="C116" s="1030">
        <f>B116</f>
        <v>0.94899999999999995</v>
      </c>
      <c r="D116" s="1030">
        <f>ROUND(0.8567-0.013*B113,4)</f>
        <v>0.85670000000000002</v>
      </c>
      <c r="E116" s="1030">
        <f t="shared" ref="E116:H117" si="34">D116</f>
        <v>0.85670000000000002</v>
      </c>
      <c r="F116" s="1030">
        <f t="shared" si="34"/>
        <v>0.85670000000000002</v>
      </c>
      <c r="G116" s="1030">
        <f t="shared" si="34"/>
        <v>0.85670000000000002</v>
      </c>
      <c r="H116" s="1030">
        <f t="shared" si="34"/>
        <v>0.85670000000000002</v>
      </c>
      <c r="I116" s="1030">
        <f>ROUND(0.7694-0.014*B113,4)</f>
        <v>0.76939999999999997</v>
      </c>
      <c r="J116" s="1030">
        <f t="shared" si="33"/>
        <v>0.76939999999999997</v>
      </c>
      <c r="K116" s="1030">
        <f t="shared" si="33"/>
        <v>0.76939999999999997</v>
      </c>
      <c r="L116" s="1030">
        <f t="shared" si="33"/>
        <v>0.76939999999999997</v>
      </c>
      <c r="M116" s="1031">
        <f t="shared" si="33"/>
        <v>0.76939999999999997</v>
      </c>
    </row>
    <row r="117" spans="1:13" ht="12.75">
      <c r="A117" s="1032" t="s">
        <v>902</v>
      </c>
      <c r="B117" s="1030">
        <f>ROUND(0.8808-0.006*B113,4)</f>
        <v>0.88080000000000003</v>
      </c>
      <c r="C117" s="1030">
        <f>B117</f>
        <v>0.88080000000000003</v>
      </c>
      <c r="D117" s="1030">
        <f>ROUND(0.8748-0.008*B113,4)</f>
        <v>0.87480000000000002</v>
      </c>
      <c r="E117" s="1030">
        <f t="shared" si="34"/>
        <v>0.87480000000000002</v>
      </c>
      <c r="F117" s="1030">
        <f t="shared" si="34"/>
        <v>0.87480000000000002</v>
      </c>
      <c r="G117" s="1030">
        <f t="shared" si="34"/>
        <v>0.87480000000000002</v>
      </c>
      <c r="H117" s="1030">
        <f t="shared" si="34"/>
        <v>0.87480000000000002</v>
      </c>
      <c r="I117" s="1030">
        <f>ROUND(0.7412-0.0095*B113,4)</f>
        <v>0.74119999999999997</v>
      </c>
      <c r="J117" s="1030">
        <f t="shared" si="33"/>
        <v>0.74119999999999997</v>
      </c>
      <c r="K117" s="1030">
        <f t="shared" si="33"/>
        <v>0.74119999999999997</v>
      </c>
      <c r="L117" s="1030">
        <f t="shared" si="33"/>
        <v>0.74119999999999997</v>
      </c>
      <c r="M117" s="1031">
        <f t="shared" si="33"/>
        <v>0.74119999999999997</v>
      </c>
    </row>
    <row r="118" spans="1:13" ht="13.5" thickBot="1">
      <c r="A118" s="1033" t="s">
        <v>903</v>
      </c>
      <c r="B118" s="1034">
        <f>ROUND(0.7275-0.01*B113,4)</f>
        <v>0.72750000000000004</v>
      </c>
      <c r="C118" s="1034">
        <f>B118</f>
        <v>0.72750000000000004</v>
      </c>
      <c r="D118" s="1034">
        <f>ROUND(0.7043-0.012*B113,4)</f>
        <v>0.70430000000000004</v>
      </c>
      <c r="E118" s="1034">
        <f>D118</f>
        <v>0.70430000000000004</v>
      </c>
      <c r="F118" s="1034">
        <f>E118</f>
        <v>0.70430000000000004</v>
      </c>
      <c r="G118" s="1034">
        <f>ROUND(0.6299-0.0122*B113,4)</f>
        <v>0.62990000000000002</v>
      </c>
      <c r="H118" s="1034">
        <f>G118</f>
        <v>0.62990000000000002</v>
      </c>
      <c r="I118" s="1034">
        <f>ROUND(0.5667-0.0136*B113,4)</f>
        <v>0.56669999999999998</v>
      </c>
      <c r="J118" s="1034">
        <f t="shared" si="33"/>
        <v>0.56669999999999998</v>
      </c>
      <c r="K118" s="1034">
        <f t="shared" si="33"/>
        <v>0.56669999999999998</v>
      </c>
      <c r="L118" s="1034">
        <f t="shared" si="33"/>
        <v>0.56669999999999998</v>
      </c>
      <c r="M118" s="1035">
        <f t="shared" si="33"/>
        <v>0.56669999999999998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125" defaultRowHeight="19.5" customHeight="1"/>
  <cols>
    <col min="1" max="1" width="13.625" style="1062" customWidth="1"/>
    <col min="2" max="9" width="8.125" style="1101" customWidth="1"/>
    <col min="10" max="13" width="8.125" style="1062"/>
    <col min="14" max="14" width="10" style="1062" customWidth="1"/>
    <col min="15" max="16" width="8.125" style="1062"/>
    <col min="17" max="17" width="34.125" style="1062" customWidth="1"/>
    <col min="18" max="18" width="8.125" style="1062" customWidth="1"/>
    <col min="19" max="19" width="8.125" style="1062"/>
    <col min="20" max="20" width="11.625" style="1062" customWidth="1"/>
    <col min="21" max="16384" width="8.1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2983</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25" t="s">
        <v>1007</v>
      </c>
      <c r="B18" s="1150" t="s">
        <v>1446</v>
      </c>
      <c r="C18" s="1127" t="s">
        <v>1447</v>
      </c>
      <c r="D18" s="1128"/>
      <c r="E18" s="1150">
        <v>1</v>
      </c>
      <c r="F18" s="1129" t="s">
        <v>1448</v>
      </c>
      <c r="G18" s="1130"/>
      <c r="H18" s="1101"/>
      <c r="I18" s="1101"/>
    </row>
    <row r="19" spans="1:9" s="1585" customFormat="1" ht="19.5" customHeight="1">
      <c r="A19" s="3425"/>
      <c r="B19" s="3425" t="s">
        <v>1449</v>
      </c>
      <c r="C19" s="1127" t="s">
        <v>1450</v>
      </c>
      <c r="D19" s="1128"/>
      <c r="E19" s="1150">
        <v>0.9</v>
      </c>
      <c r="F19" s="1129" t="s">
        <v>1451</v>
      </c>
      <c r="G19" s="1130"/>
      <c r="H19" s="1101"/>
      <c r="I19" s="1101"/>
    </row>
    <row r="20" spans="1:9" s="1585" customFormat="1" ht="19.5" customHeight="1">
      <c r="A20" s="3425"/>
      <c r="B20" s="3425"/>
      <c r="C20" s="1127" t="s">
        <v>1452</v>
      </c>
      <c r="D20" s="1128"/>
      <c r="E20" s="1150">
        <v>1.1000000000000001</v>
      </c>
      <c r="F20" s="1129" t="s">
        <v>1453</v>
      </c>
      <c r="G20" s="1130"/>
      <c r="H20" s="1101"/>
      <c r="I20" s="1101"/>
    </row>
    <row r="21" spans="1:9" s="1585" customFormat="1" ht="19.5" customHeight="1">
      <c r="A21" s="3425"/>
      <c r="B21" s="3425"/>
      <c r="C21" s="1127" t="s">
        <v>1454</v>
      </c>
      <c r="D21" s="1128"/>
      <c r="E21" s="1150">
        <v>0.8</v>
      </c>
      <c r="F21" s="1129" t="s">
        <v>1455</v>
      </c>
      <c r="G21" s="1130"/>
      <c r="H21" s="1101"/>
      <c r="I21" s="1101"/>
    </row>
    <row r="22" spans="1:9" s="1585" customFormat="1" ht="19.5" customHeight="1">
      <c r="A22" s="3425"/>
      <c r="B22" s="3425"/>
      <c r="C22" s="1127" t="s">
        <v>1456</v>
      </c>
      <c r="D22" s="1128"/>
      <c r="E22" s="1150">
        <v>0.5</v>
      </c>
      <c r="F22" s="1129"/>
      <c r="G22" s="1130"/>
      <c r="H22" s="1101"/>
      <c r="I22" s="1101"/>
    </row>
    <row r="23" spans="1:9" s="1585" customFormat="1" ht="19.5" customHeight="1">
      <c r="A23" s="3425" t="s">
        <v>1029</v>
      </c>
      <c r="B23" s="1150" t="s">
        <v>1446</v>
      </c>
      <c r="C23" s="1127" t="s">
        <v>1457</v>
      </c>
      <c r="D23" s="1128"/>
      <c r="E23" s="1150">
        <v>1</v>
      </c>
      <c r="F23" s="1129" t="s">
        <v>1458</v>
      </c>
      <c r="G23" s="1130"/>
      <c r="H23" s="1101"/>
      <c r="I23" s="1101"/>
    </row>
    <row r="24" spans="1:9" s="1585" customFormat="1" ht="19.5" customHeight="1">
      <c r="A24" s="3425"/>
      <c r="B24" s="3425" t="s">
        <v>1449</v>
      </c>
      <c r="C24" s="1127" t="s">
        <v>1459</v>
      </c>
      <c r="D24" s="1128"/>
      <c r="E24" s="1150">
        <v>0.5</v>
      </c>
      <c r="F24" s="1129"/>
      <c r="G24" s="1130"/>
      <c r="H24" s="1101"/>
      <c r="I24" s="1101"/>
    </row>
    <row r="25" spans="1:9" s="1585" customFormat="1" ht="19.5" customHeight="1">
      <c r="A25" s="3425"/>
      <c r="B25" s="3425"/>
      <c r="C25" s="1127" t="s">
        <v>1460</v>
      </c>
      <c r="D25" s="1128"/>
      <c r="E25" s="1150">
        <v>1.1000000000000001</v>
      </c>
      <c r="F25" s="1129"/>
      <c r="G25" s="1130"/>
      <c r="H25" s="1101"/>
      <c r="I25" s="1101"/>
    </row>
    <row r="26" spans="1:9" s="1585" customFormat="1" ht="19.5" customHeight="1">
      <c r="A26" s="3425"/>
      <c r="B26" s="3425"/>
      <c r="C26" s="1127" t="s">
        <v>1461</v>
      </c>
      <c r="D26" s="1128"/>
      <c r="E26" s="1150">
        <v>1.1000000000000001</v>
      </c>
      <c r="F26" s="1129"/>
      <c r="G26" s="1130"/>
      <c r="H26" s="1101"/>
      <c r="I26" s="1101"/>
    </row>
    <row r="27" spans="1:9" s="1585" customFormat="1" ht="19.5" customHeight="1">
      <c r="A27" s="3425"/>
      <c r="B27" s="3425"/>
      <c r="C27" s="1127" t="s">
        <v>1462</v>
      </c>
      <c r="D27" s="1128"/>
      <c r="E27" s="1150">
        <v>0.9</v>
      </c>
      <c r="F27" s="1129" t="s">
        <v>1463</v>
      </c>
      <c r="G27" s="1130"/>
      <c r="H27" s="1101"/>
      <c r="I27" s="1101"/>
    </row>
    <row r="28" spans="1:9" s="1585" customFormat="1" ht="19.5" customHeight="1">
      <c r="A28" s="3425"/>
      <c r="B28" s="3425"/>
      <c r="C28" s="1127" t="s">
        <v>1464</v>
      </c>
      <c r="D28" s="1128"/>
      <c r="E28" s="1150">
        <v>0.9</v>
      </c>
      <c r="F28" s="1129" t="s">
        <v>1465</v>
      </c>
      <c r="G28" s="1130"/>
      <c r="H28" s="1101"/>
      <c r="I28" s="1101"/>
    </row>
    <row r="29" spans="1:9" s="1585" customFormat="1" ht="19.5" customHeight="1">
      <c r="A29" s="3425"/>
      <c r="B29" s="3425"/>
      <c r="C29" s="1127" t="s">
        <v>1466</v>
      </c>
      <c r="D29" s="1128"/>
      <c r="E29" s="1150">
        <v>0.9</v>
      </c>
      <c r="F29" s="1129" t="s">
        <v>1467</v>
      </c>
      <c r="G29" s="1130"/>
      <c r="H29" s="1101"/>
      <c r="I29" s="1101"/>
    </row>
    <row r="30" spans="1:9" s="1585" customFormat="1" ht="19.5" customHeight="1">
      <c r="A30" s="3425"/>
      <c r="B30" s="3425"/>
      <c r="C30" s="1127" t="s">
        <v>1468</v>
      </c>
      <c r="D30" s="1128"/>
      <c r="E30" s="1150">
        <v>0.9</v>
      </c>
      <c r="F30" s="1129" t="s">
        <v>1469</v>
      </c>
      <c r="G30" s="1130"/>
      <c r="H30" s="1101"/>
      <c r="I30" s="1101"/>
    </row>
    <row r="31" spans="1:9" s="1585" customFormat="1" ht="19.5" customHeight="1">
      <c r="A31" s="3425"/>
      <c r="B31" s="3425"/>
      <c r="C31" s="1127" t="s">
        <v>1470</v>
      </c>
      <c r="D31" s="1128"/>
      <c r="E31" s="1150">
        <v>0.8</v>
      </c>
      <c r="F31" s="1129" t="s">
        <v>1471</v>
      </c>
      <c r="G31" s="1130"/>
      <c r="H31" s="1101"/>
      <c r="I31" s="1101"/>
    </row>
    <row r="32" spans="1:9" s="1585" customFormat="1" ht="19.5" customHeight="1">
      <c r="A32" s="3425"/>
      <c r="B32" s="3425"/>
      <c r="C32" s="1127" t="s">
        <v>1472</v>
      </c>
      <c r="D32" s="1128"/>
      <c r="E32" s="1150">
        <v>0.8</v>
      </c>
      <c r="F32" s="1129" t="s">
        <v>1473</v>
      </c>
      <c r="G32" s="1130"/>
      <c r="H32" s="1101"/>
      <c r="I32" s="1101"/>
    </row>
    <row r="33" spans="1:9" s="1585" customFormat="1" ht="19.5" customHeight="1">
      <c r="A33" s="3425" t="s">
        <v>1474</v>
      </c>
      <c r="B33" s="1150" t="s">
        <v>1446</v>
      </c>
      <c r="C33" s="1127" t="s">
        <v>1475</v>
      </c>
      <c r="D33" s="1128"/>
      <c r="E33" s="1150">
        <v>1</v>
      </c>
      <c r="F33" s="1129" t="s">
        <v>1476</v>
      </c>
      <c r="G33" s="1130"/>
      <c r="H33" s="1101"/>
      <c r="I33" s="1101"/>
    </row>
    <row r="34" spans="1:9" s="1585" customFormat="1" ht="19.5" customHeight="1">
      <c r="A34" s="3425"/>
      <c r="B34" s="1150" t="s">
        <v>1449</v>
      </c>
      <c r="C34" s="1127" t="s">
        <v>1477</v>
      </c>
      <c r="D34" s="1128"/>
      <c r="E34" s="1150">
        <v>1.5</v>
      </c>
      <c r="F34" s="1129" t="s">
        <v>1478</v>
      </c>
      <c r="G34" s="1130"/>
      <c r="H34" s="1101"/>
      <c r="I34" s="1101"/>
    </row>
    <row r="35" spans="1:9" s="1585" customFormat="1" ht="19.5" customHeight="1">
      <c r="A35" s="3425" t="s">
        <v>1432</v>
      </c>
      <c r="B35" s="1150" t="s">
        <v>1446</v>
      </c>
      <c r="C35" s="1127" t="s">
        <v>1479</v>
      </c>
      <c r="D35" s="1128"/>
      <c r="E35" s="1150">
        <v>1</v>
      </c>
      <c r="F35" s="1129" t="s">
        <v>1480</v>
      </c>
      <c r="G35" s="1130"/>
      <c r="H35" s="1101"/>
      <c r="I35" s="1101"/>
    </row>
    <row r="36" spans="1:9" s="1585" customFormat="1" ht="19.5" customHeight="1">
      <c r="A36" s="3425"/>
      <c r="B36" s="3425" t="s">
        <v>1449</v>
      </c>
      <c r="C36" s="1127" t="s">
        <v>1481</v>
      </c>
      <c r="D36" s="1128"/>
      <c r="E36" s="1150">
        <v>1</v>
      </c>
      <c r="F36" s="1129" t="s">
        <v>1482</v>
      </c>
      <c r="G36" s="1130"/>
      <c r="H36" s="1101"/>
      <c r="I36" s="1101"/>
    </row>
    <row r="37" spans="1:9" s="1585" customFormat="1" ht="19.5" customHeight="1">
      <c r="A37" s="3425"/>
      <c r="B37" s="3425"/>
      <c r="C37" s="1127" t="s">
        <v>1483</v>
      </c>
      <c r="D37" s="1128"/>
      <c r="E37" s="1150">
        <v>1.5</v>
      </c>
      <c r="F37" s="1129" t="s">
        <v>1484</v>
      </c>
      <c r="G37" s="1130"/>
      <c r="H37" s="1101"/>
      <c r="I37" s="1101"/>
    </row>
    <row r="38" spans="1:9" s="1585" customFormat="1" ht="19.5" customHeight="1">
      <c r="A38" s="3425"/>
      <c r="B38" s="3425"/>
      <c r="C38" s="1127" t="s">
        <v>1485</v>
      </c>
      <c r="D38" s="1128"/>
      <c r="E38" s="1150">
        <v>1</v>
      </c>
      <c r="F38" s="1129" t="s">
        <v>1486</v>
      </c>
      <c r="G38" s="1130"/>
      <c r="H38" s="1101"/>
      <c r="I38" s="1101"/>
    </row>
    <row r="39" spans="1:9" s="1585" customFormat="1" ht="19.5" customHeight="1">
      <c r="A39" s="3425"/>
      <c r="B39" s="3425"/>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25" t="s">
        <v>1501</v>
      </c>
      <c r="C61" s="1064" t="s">
        <v>1502</v>
      </c>
      <c r="D61" s="1064" t="s">
        <v>1503</v>
      </c>
      <c r="E61" s="1135">
        <v>0.5</v>
      </c>
      <c r="F61" s="1150">
        <v>80</v>
      </c>
      <c r="H61" s="1101">
        <f>SUMIF(C59:C119,基准地价!C8,E59:E119)</f>
        <v>0</v>
      </c>
    </row>
    <row r="62" spans="1:8" s="1101" customFormat="1" ht="24">
      <c r="A62" s="1150">
        <v>2</v>
      </c>
      <c r="B62" s="3425"/>
      <c r="C62" s="1064" t="s">
        <v>1504</v>
      </c>
      <c r="D62" s="1064" t="s">
        <v>1505</v>
      </c>
      <c r="E62" s="1135">
        <v>0.5</v>
      </c>
      <c r="F62" s="1150">
        <v>80</v>
      </c>
    </row>
    <row r="63" spans="1:8" s="1101" customFormat="1" ht="36">
      <c r="A63" s="1150">
        <v>3</v>
      </c>
      <c r="B63" s="3425"/>
      <c r="C63" s="1064" t="s">
        <v>1506</v>
      </c>
      <c r="D63" s="1064" t="s">
        <v>1507</v>
      </c>
      <c r="E63" s="1135">
        <v>0.5</v>
      </c>
      <c r="F63" s="1150">
        <v>80</v>
      </c>
    </row>
    <row r="64" spans="1:8" s="1101" customFormat="1" ht="36">
      <c r="A64" s="1150">
        <v>4</v>
      </c>
      <c r="B64" s="3425"/>
      <c r="C64" s="1064" t="s">
        <v>1508</v>
      </c>
      <c r="D64" s="1064" t="s">
        <v>1509</v>
      </c>
      <c r="E64" s="1135">
        <v>0.4</v>
      </c>
      <c r="F64" s="1150">
        <v>60</v>
      </c>
    </row>
    <row r="65" spans="1:6" s="1101" customFormat="1" ht="36">
      <c r="A65" s="1150">
        <v>5</v>
      </c>
      <c r="B65" s="3425"/>
      <c r="C65" s="1064" t="s">
        <v>1510</v>
      </c>
      <c r="D65" s="1064" t="s">
        <v>1511</v>
      </c>
      <c r="E65" s="1135">
        <v>0.2</v>
      </c>
      <c r="F65" s="1150">
        <v>30</v>
      </c>
    </row>
    <row r="66" spans="1:6" s="1101" customFormat="1" ht="36">
      <c r="A66" s="1150">
        <v>6</v>
      </c>
      <c r="B66" s="3425"/>
      <c r="C66" s="1064" t="s">
        <v>1512</v>
      </c>
      <c r="D66" s="1064" t="s">
        <v>1513</v>
      </c>
      <c r="E66" s="1135">
        <v>0.3</v>
      </c>
      <c r="F66" s="1150">
        <v>50</v>
      </c>
    </row>
    <row r="67" spans="1:6" s="1101" customFormat="1" ht="36">
      <c r="A67" s="1150">
        <v>7</v>
      </c>
      <c r="B67" s="3425"/>
      <c r="C67" s="1064" t="s">
        <v>1514</v>
      </c>
      <c r="D67" s="1064" t="s">
        <v>1515</v>
      </c>
      <c r="E67" s="1135">
        <v>0.2</v>
      </c>
      <c r="F67" s="1150">
        <v>30</v>
      </c>
    </row>
    <row r="68" spans="1:6" s="1101" customFormat="1" ht="36">
      <c r="A68" s="1150">
        <v>8</v>
      </c>
      <c r="B68" s="3425"/>
      <c r="C68" s="1064" t="s">
        <v>1516</v>
      </c>
      <c r="D68" s="1064" t="s">
        <v>1517</v>
      </c>
      <c r="E68" s="1135">
        <v>0.2</v>
      </c>
      <c r="F68" s="1150">
        <v>30</v>
      </c>
    </row>
    <row r="69" spans="1:6" s="1101" customFormat="1" ht="36">
      <c r="A69" s="1150">
        <v>9</v>
      </c>
      <c r="B69" s="3425"/>
      <c r="C69" s="1064" t="s">
        <v>1518</v>
      </c>
      <c r="D69" s="1064" t="s">
        <v>1519</v>
      </c>
      <c r="E69" s="1135">
        <v>0.2</v>
      </c>
      <c r="F69" s="1150">
        <v>30</v>
      </c>
    </row>
    <row r="70" spans="1:6" s="1101" customFormat="1" ht="48">
      <c r="A70" s="1150">
        <v>10</v>
      </c>
      <c r="B70" s="3425"/>
      <c r="C70" s="1064" t="s">
        <v>1520</v>
      </c>
      <c r="D70" s="1064" t="s">
        <v>1521</v>
      </c>
      <c r="E70" s="1135">
        <v>0.2</v>
      </c>
      <c r="F70" s="1150">
        <v>30</v>
      </c>
    </row>
    <row r="71" spans="1:6" s="1101" customFormat="1" ht="48">
      <c r="A71" s="1150">
        <v>11</v>
      </c>
      <c r="B71" s="3425"/>
      <c r="C71" s="1064" t="s">
        <v>1522</v>
      </c>
      <c r="D71" s="1064" t="s">
        <v>1523</v>
      </c>
      <c r="E71" s="1135">
        <v>0.2</v>
      </c>
      <c r="F71" s="1150">
        <v>30</v>
      </c>
    </row>
    <row r="72" spans="1:6" s="1101" customFormat="1" ht="36">
      <c r="A72" s="1150">
        <v>12</v>
      </c>
      <c r="B72" s="3425"/>
      <c r="C72" s="1064" t="s">
        <v>1524</v>
      </c>
      <c r="D72" s="1064" t="s">
        <v>1525</v>
      </c>
      <c r="E72" s="1135">
        <v>0.5</v>
      </c>
      <c r="F72" s="1150">
        <v>80</v>
      </c>
    </row>
    <row r="73" spans="1:6" s="1101" customFormat="1" ht="24">
      <c r="A73" s="1150">
        <v>13</v>
      </c>
      <c r="B73" s="3425"/>
      <c r="C73" s="1064" t="s">
        <v>1526</v>
      </c>
      <c r="D73" s="1064" t="s">
        <v>1527</v>
      </c>
      <c r="E73" s="1135">
        <v>0.4</v>
      </c>
      <c r="F73" s="1150">
        <v>60</v>
      </c>
    </row>
    <row r="74" spans="1:6" s="1101" customFormat="1" ht="24">
      <c r="A74" s="1150">
        <v>14</v>
      </c>
      <c r="B74" s="3425"/>
      <c r="C74" s="1064" t="s">
        <v>1528</v>
      </c>
      <c r="D74" s="1064" t="s">
        <v>1529</v>
      </c>
      <c r="E74" s="1135">
        <v>0.2</v>
      </c>
      <c r="F74" s="1150">
        <v>30</v>
      </c>
    </row>
    <row r="75" spans="1:6" s="1101" customFormat="1" ht="24">
      <c r="A75" s="1150">
        <v>15</v>
      </c>
      <c r="B75" s="3425"/>
      <c r="C75" s="1064" t="s">
        <v>1530</v>
      </c>
      <c r="D75" s="1064" t="s">
        <v>1531</v>
      </c>
      <c r="E75" s="1135">
        <v>0.2</v>
      </c>
      <c r="F75" s="1150">
        <v>30</v>
      </c>
    </row>
    <row r="76" spans="1:6" s="1101" customFormat="1" ht="24">
      <c r="A76" s="1150">
        <v>16</v>
      </c>
      <c r="B76" s="3425" t="s">
        <v>1532</v>
      </c>
      <c r="C76" s="1064" t="s">
        <v>1533</v>
      </c>
      <c r="D76" s="1064" t="s">
        <v>1534</v>
      </c>
      <c r="E76" s="1135">
        <v>0.5</v>
      </c>
      <c r="F76" s="1150">
        <v>80</v>
      </c>
    </row>
    <row r="77" spans="1:6" s="1101" customFormat="1" ht="24">
      <c r="A77" s="1150">
        <v>17</v>
      </c>
      <c r="B77" s="3425"/>
      <c r="C77" s="1064" t="s">
        <v>1535</v>
      </c>
      <c r="D77" s="1064" t="s">
        <v>1536</v>
      </c>
      <c r="E77" s="1135">
        <v>0.5</v>
      </c>
      <c r="F77" s="1150">
        <v>80</v>
      </c>
    </row>
    <row r="78" spans="1:6" s="1101" customFormat="1" ht="24">
      <c r="A78" s="1150">
        <v>18</v>
      </c>
      <c r="B78" s="3425"/>
      <c r="C78" s="1064" t="s">
        <v>1537</v>
      </c>
      <c r="D78" s="1064" t="s">
        <v>1538</v>
      </c>
      <c r="E78" s="1135">
        <v>0.2</v>
      </c>
      <c r="F78" s="1150">
        <v>30</v>
      </c>
    </row>
    <row r="79" spans="1:6" s="1101" customFormat="1" ht="24">
      <c r="A79" s="1150">
        <v>19</v>
      </c>
      <c r="B79" s="3425"/>
      <c r="C79" s="1064" t="s">
        <v>1539</v>
      </c>
      <c r="D79" s="1064" t="s">
        <v>1540</v>
      </c>
      <c r="E79" s="1135">
        <v>0.5</v>
      </c>
      <c r="F79" s="1150">
        <v>80</v>
      </c>
    </row>
    <row r="80" spans="1:6" s="1101" customFormat="1" ht="36">
      <c r="A80" s="1150">
        <v>20</v>
      </c>
      <c r="B80" s="3425"/>
      <c r="C80" s="1064" t="s">
        <v>1541</v>
      </c>
      <c r="D80" s="1064" t="s">
        <v>1542</v>
      </c>
      <c r="E80" s="1135">
        <v>0.2</v>
      </c>
      <c r="F80" s="1150">
        <v>30</v>
      </c>
    </row>
    <row r="81" spans="1:6" s="1101" customFormat="1" ht="36">
      <c r="A81" s="1150">
        <v>21</v>
      </c>
      <c r="B81" s="3425"/>
      <c r="C81" s="1064" t="s">
        <v>1543</v>
      </c>
      <c r="D81" s="1064" t="s">
        <v>1544</v>
      </c>
      <c r="E81" s="1135">
        <v>0.2</v>
      </c>
      <c r="F81" s="1150">
        <v>30</v>
      </c>
    </row>
    <row r="82" spans="1:6" s="1101" customFormat="1" ht="48">
      <c r="A82" s="1150">
        <v>22</v>
      </c>
      <c r="B82" s="3425"/>
      <c r="C82" s="1064" t="s">
        <v>1545</v>
      </c>
      <c r="D82" s="1064" t="s">
        <v>1546</v>
      </c>
      <c r="E82" s="1135">
        <v>0.2</v>
      </c>
      <c r="F82" s="1150">
        <v>30</v>
      </c>
    </row>
    <row r="83" spans="1:6" s="1101" customFormat="1" ht="48">
      <c r="A83" s="1150">
        <v>23</v>
      </c>
      <c r="B83" s="3425"/>
      <c r="C83" s="1064" t="s">
        <v>1547</v>
      </c>
      <c r="D83" s="1064" t="s">
        <v>1548</v>
      </c>
      <c r="E83" s="1135">
        <v>0.2</v>
      </c>
      <c r="F83" s="1150">
        <v>30</v>
      </c>
    </row>
    <row r="84" spans="1:6" s="1101" customFormat="1" ht="36">
      <c r="A84" s="1150">
        <v>24</v>
      </c>
      <c r="B84" s="3425"/>
      <c r="C84" s="1064" t="s">
        <v>1549</v>
      </c>
      <c r="D84" s="1064" t="s">
        <v>1550</v>
      </c>
      <c r="E84" s="1135">
        <v>0.2</v>
      </c>
      <c r="F84" s="1150">
        <v>30</v>
      </c>
    </row>
    <row r="85" spans="1:6" s="1101" customFormat="1" ht="36">
      <c r="A85" s="1150">
        <v>25</v>
      </c>
      <c r="B85" s="3425"/>
      <c r="C85" s="1064" t="s">
        <v>1551</v>
      </c>
      <c r="D85" s="1064" t="s">
        <v>1552</v>
      </c>
      <c r="E85" s="1135">
        <v>0.5</v>
      </c>
      <c r="F85" s="1150">
        <v>80</v>
      </c>
    </row>
    <row r="86" spans="1:6" s="1101" customFormat="1" ht="36">
      <c r="A86" s="1150">
        <v>26</v>
      </c>
      <c r="B86" s="3425"/>
      <c r="C86" s="1064" t="s">
        <v>1553</v>
      </c>
      <c r="D86" s="1064" t="s">
        <v>1554</v>
      </c>
      <c r="E86" s="1135">
        <v>0.2</v>
      </c>
      <c r="F86" s="1150">
        <v>30</v>
      </c>
    </row>
    <row r="87" spans="1:6" s="1101" customFormat="1" ht="36">
      <c r="A87" s="1150">
        <v>27</v>
      </c>
      <c r="B87" s="3425"/>
      <c r="C87" s="1064" t="s">
        <v>1555</v>
      </c>
      <c r="D87" s="1064" t="s">
        <v>1556</v>
      </c>
      <c r="E87" s="1135">
        <v>0.2</v>
      </c>
      <c r="F87" s="1150">
        <v>30</v>
      </c>
    </row>
    <row r="88" spans="1:6" s="1101" customFormat="1" ht="36">
      <c r="A88" s="1150">
        <v>28</v>
      </c>
      <c r="B88" s="3425"/>
      <c r="C88" s="1064" t="s">
        <v>1557</v>
      </c>
      <c r="D88" s="1064" t="s">
        <v>1558</v>
      </c>
      <c r="E88" s="1135">
        <v>0.2</v>
      </c>
      <c r="F88" s="1150">
        <v>30</v>
      </c>
    </row>
    <row r="89" spans="1:6" s="1101" customFormat="1" ht="24">
      <c r="A89" s="1150">
        <v>29</v>
      </c>
      <c r="B89" s="3425"/>
      <c r="C89" s="1064" t="s">
        <v>1559</v>
      </c>
      <c r="D89" s="1064" t="s">
        <v>1560</v>
      </c>
      <c r="E89" s="1135">
        <v>0.2</v>
      </c>
      <c r="F89" s="1150">
        <v>30</v>
      </c>
    </row>
    <row r="90" spans="1:6" s="1101" customFormat="1" ht="24">
      <c r="A90" s="1150">
        <v>30</v>
      </c>
      <c r="B90" s="3425"/>
      <c r="C90" s="1064" t="s">
        <v>1561</v>
      </c>
      <c r="D90" s="1064" t="s">
        <v>1562</v>
      </c>
      <c r="E90" s="1135">
        <v>0.2</v>
      </c>
      <c r="F90" s="1150">
        <v>30</v>
      </c>
    </row>
    <row r="91" spans="1:6" s="1101" customFormat="1" ht="36">
      <c r="A91" s="1150">
        <v>31</v>
      </c>
      <c r="B91" s="3425"/>
      <c r="C91" s="1064" t="s">
        <v>1563</v>
      </c>
      <c r="D91" s="1064" t="s">
        <v>1564</v>
      </c>
      <c r="E91" s="1135">
        <v>0.2</v>
      </c>
      <c r="F91" s="1150">
        <v>30</v>
      </c>
    </row>
    <row r="92" spans="1:6" s="1101" customFormat="1" ht="24">
      <c r="A92" s="1150">
        <v>32</v>
      </c>
      <c r="B92" s="3425" t="s">
        <v>1565</v>
      </c>
      <c r="C92" s="1150" t="s">
        <v>1566</v>
      </c>
      <c r="D92" s="1064" t="s">
        <v>1567</v>
      </c>
      <c r="E92" s="1135">
        <v>0.2</v>
      </c>
      <c r="F92" s="1150">
        <v>30</v>
      </c>
    </row>
    <row r="93" spans="1:6" s="1101" customFormat="1" ht="36">
      <c r="A93" s="1150">
        <v>33</v>
      </c>
      <c r="B93" s="3425"/>
      <c r="C93" s="1150" t="s">
        <v>1568</v>
      </c>
      <c r="D93" s="1064" t="s">
        <v>1569</v>
      </c>
      <c r="E93" s="1135">
        <v>0.2</v>
      </c>
      <c r="F93" s="1150">
        <v>30</v>
      </c>
    </row>
    <row r="94" spans="1:6" s="1101" customFormat="1" ht="48">
      <c r="A94" s="1150">
        <v>34</v>
      </c>
      <c r="B94" s="3425"/>
      <c r="C94" s="1150" t="s">
        <v>1570</v>
      </c>
      <c r="D94" s="1064" t="s">
        <v>1571</v>
      </c>
      <c r="E94" s="1135">
        <v>0.2</v>
      </c>
      <c r="F94" s="1150">
        <v>30</v>
      </c>
    </row>
    <row r="95" spans="1:6" s="1101" customFormat="1" ht="36">
      <c r="A95" s="1150">
        <v>35</v>
      </c>
      <c r="B95" s="3425"/>
      <c r="C95" s="1150" t="s">
        <v>1572</v>
      </c>
      <c r="D95" s="1064" t="s">
        <v>1573</v>
      </c>
      <c r="E95" s="1135">
        <v>0.2</v>
      </c>
      <c r="F95" s="1150">
        <v>30</v>
      </c>
    </row>
    <row r="96" spans="1:6" s="1101" customFormat="1" ht="48">
      <c r="A96" s="1150">
        <v>36</v>
      </c>
      <c r="B96" s="3425"/>
      <c r="C96" s="1064" t="s">
        <v>1574</v>
      </c>
      <c r="D96" s="1064" t="s">
        <v>1575</v>
      </c>
      <c r="E96" s="1135">
        <v>0.2</v>
      </c>
      <c r="F96" s="1150">
        <v>30</v>
      </c>
    </row>
    <row r="97" spans="1:6" s="1101" customFormat="1" ht="36">
      <c r="A97" s="1150">
        <v>37</v>
      </c>
      <c r="B97" s="3425"/>
      <c r="C97" s="1150" t="s">
        <v>1576</v>
      </c>
      <c r="D97" s="1064" t="s">
        <v>1577</v>
      </c>
      <c r="E97" s="1135">
        <v>0.2</v>
      </c>
      <c r="F97" s="1150">
        <v>30</v>
      </c>
    </row>
    <row r="98" spans="1:6" s="1101" customFormat="1" ht="36">
      <c r="A98" s="1150">
        <v>38</v>
      </c>
      <c r="B98" s="3425"/>
      <c r="C98" s="1150" t="s">
        <v>1578</v>
      </c>
      <c r="D98" s="1064" t="s">
        <v>1579</v>
      </c>
      <c r="E98" s="1135">
        <v>0.2</v>
      </c>
      <c r="F98" s="1150">
        <v>30</v>
      </c>
    </row>
    <row r="99" spans="1:6" s="1101" customFormat="1" ht="36">
      <c r="A99" s="1150">
        <v>39</v>
      </c>
      <c r="B99" s="3425" t="s">
        <v>1580</v>
      </c>
      <c r="C99" s="1150" t="s">
        <v>1581</v>
      </c>
      <c r="D99" s="1064" t="s">
        <v>1582</v>
      </c>
      <c r="E99" s="1135">
        <v>0.3</v>
      </c>
      <c r="F99" s="1150">
        <v>50</v>
      </c>
    </row>
    <row r="100" spans="1:6" s="1101" customFormat="1" ht="24">
      <c r="A100" s="1150">
        <v>40</v>
      </c>
      <c r="B100" s="3425"/>
      <c r="C100" s="1150" t="s">
        <v>1583</v>
      </c>
      <c r="D100" s="1064" t="s">
        <v>1584</v>
      </c>
      <c r="E100" s="1135">
        <v>0.2</v>
      </c>
      <c r="F100" s="1150">
        <v>30</v>
      </c>
    </row>
    <row r="101" spans="1:6" s="1101" customFormat="1" ht="36">
      <c r="A101" s="1150">
        <v>41</v>
      </c>
      <c r="B101" s="3425"/>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25" t="s">
        <v>1595</v>
      </c>
      <c r="C105" s="1150" t="s">
        <v>1596</v>
      </c>
      <c r="D105" s="1064" t="s">
        <v>1597</v>
      </c>
      <c r="E105" s="1135">
        <v>0.2</v>
      </c>
      <c r="F105" s="1150">
        <v>30</v>
      </c>
    </row>
    <row r="106" spans="1:6" s="1101" customFormat="1" ht="36">
      <c r="A106" s="1150">
        <v>46</v>
      </c>
      <c r="B106" s="3425"/>
      <c r="C106" s="1150" t="s">
        <v>1598</v>
      </c>
      <c r="D106" s="1064" t="s">
        <v>1599</v>
      </c>
      <c r="E106" s="1135">
        <v>0.2</v>
      </c>
      <c r="F106" s="1150">
        <v>30</v>
      </c>
    </row>
    <row r="107" spans="1:6" s="1101" customFormat="1" ht="36">
      <c r="A107" s="1150">
        <v>47</v>
      </c>
      <c r="B107" s="3425" t="s">
        <v>1600</v>
      </c>
      <c r="C107" s="1150" t="s">
        <v>1601</v>
      </c>
      <c r="D107" s="1064" t="s">
        <v>1602</v>
      </c>
      <c r="E107" s="1135">
        <v>0.3</v>
      </c>
      <c r="F107" s="1150">
        <v>50</v>
      </c>
    </row>
    <row r="108" spans="1:6" s="1101" customFormat="1" ht="36">
      <c r="A108" s="1150">
        <v>48</v>
      </c>
      <c r="B108" s="3425"/>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25" t="s">
        <v>1611</v>
      </c>
      <c r="C111" s="1150" t="s">
        <v>1612</v>
      </c>
      <c r="D111" s="1064" t="s">
        <v>1613</v>
      </c>
      <c r="E111" s="1135">
        <v>0.2</v>
      </c>
      <c r="F111" s="1150">
        <v>30</v>
      </c>
    </row>
    <row r="112" spans="1:6" s="1101" customFormat="1" ht="24">
      <c r="A112" s="1150">
        <v>52</v>
      </c>
      <c r="B112" s="3425"/>
      <c r="C112" s="1150" t="s">
        <v>1614</v>
      </c>
      <c r="D112" s="1064" t="s">
        <v>1615</v>
      </c>
      <c r="E112" s="1135">
        <v>0.2</v>
      </c>
      <c r="F112" s="1150">
        <v>30</v>
      </c>
    </row>
    <row r="113" spans="1:14" s="1101" customFormat="1" ht="24">
      <c r="A113" s="1150">
        <v>53</v>
      </c>
      <c r="B113" s="3425"/>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25" t="s">
        <v>1624</v>
      </c>
      <c r="C116" s="1150" t="s">
        <v>1625</v>
      </c>
      <c r="D116" s="1064" t="s">
        <v>1626</v>
      </c>
      <c r="E116" s="1135">
        <v>0.2</v>
      </c>
      <c r="F116" s="1150">
        <v>30</v>
      </c>
    </row>
    <row r="117" spans="1:14" ht="36">
      <c r="A117" s="1150">
        <v>57</v>
      </c>
      <c r="B117" s="3425"/>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24" t="s">
        <v>1633</v>
      </c>
      <c r="B121" s="3424"/>
      <c r="C121" s="3424"/>
      <c r="D121" s="3424"/>
      <c r="E121" s="3424"/>
      <c r="F121" s="3424"/>
      <c r="G121" s="3424"/>
      <c r="H121" s="3424"/>
      <c r="I121" s="3424"/>
      <c r="J121" s="3424"/>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125" style="1062" customWidth="1"/>
    <col min="6" max="6" width="9" style="1062"/>
    <col min="7" max="7" width="9" style="1065"/>
    <col min="8" max="8" width="9" style="1062"/>
    <col min="9" max="9" width="9" style="1065"/>
    <col min="10" max="16384" width="9" style="1062"/>
  </cols>
  <sheetData>
    <row r="1" spans="1:20">
      <c r="A1" s="3429" t="s">
        <v>1039</v>
      </c>
      <c r="B1" s="3429"/>
      <c r="C1" s="3429"/>
      <c r="D1" s="3429"/>
      <c r="E1" s="3429"/>
      <c r="F1" s="3429"/>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30" t="s">
        <v>1052</v>
      </c>
      <c r="B2" s="3430"/>
      <c r="C2" s="3430"/>
      <c r="D2" s="3430"/>
      <c r="E2" s="3430"/>
      <c r="F2" s="3430"/>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31"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32"/>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2419</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2420</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125" style="1867" customWidth="1"/>
  </cols>
  <sheetData>
    <row r="1" spans="1:6">
      <c r="A1" s="3433" t="s">
        <v>2076</v>
      </c>
      <c r="B1" s="3433"/>
    </row>
    <row r="2" spans="1:6" ht="14.25" thickBot="1">
      <c r="A2" s="1837"/>
      <c r="B2" s="1837"/>
    </row>
    <row r="3" spans="1:6" ht="14.25" thickBot="1">
      <c r="A3" s="1837"/>
      <c r="B3" s="1837"/>
      <c r="C3" s="1838" t="s">
        <v>2077</v>
      </c>
      <c r="D3" s="1838" t="s">
        <v>2078</v>
      </c>
      <c r="E3" s="1838" t="s">
        <v>2079</v>
      </c>
      <c r="F3" s="1838" t="s">
        <v>2080</v>
      </c>
    </row>
    <row r="4" spans="1:6" ht="14.25" thickBot="1">
      <c r="A4" s="1839" t="s">
        <v>2081</v>
      </c>
      <c r="B4" s="1840" t="s">
        <v>2082</v>
      </c>
      <c r="C4" s="1838"/>
      <c r="D4" s="1838"/>
      <c r="E4" s="1838"/>
      <c r="F4" s="1838"/>
    </row>
    <row r="5" spans="1:6" ht="14.25" thickBot="1">
      <c r="A5" s="1841" t="s">
        <v>2083</v>
      </c>
      <c r="B5" s="1842" t="s">
        <v>2084</v>
      </c>
      <c r="C5" s="1843">
        <v>8.8999999999999996E-2</v>
      </c>
      <c r="D5" s="1843">
        <v>7.3999999999999996E-2</v>
      </c>
      <c r="E5" s="1843">
        <v>7.4999999999999997E-2</v>
      </c>
      <c r="F5" s="1844">
        <v>0.1</v>
      </c>
    </row>
    <row r="6" spans="1:6" ht="14.25" thickBot="1">
      <c r="A6" s="1841" t="s">
        <v>1096</v>
      </c>
      <c r="B6" s="1845" t="s">
        <v>2085</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2086</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2087</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2088</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2089</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24.75" thickBot="1">
      <c r="A72" s="1841" t="s">
        <v>925</v>
      </c>
      <c r="B72" s="1845" t="s">
        <v>2090</v>
      </c>
      <c r="C72" s="1855"/>
      <c r="D72" s="1855"/>
      <c r="E72" s="1855"/>
      <c r="F72" s="1847">
        <v>0.05</v>
      </c>
    </row>
    <row r="73" spans="1:6" ht="24.75" thickBot="1">
      <c r="A73" s="1841" t="s">
        <v>925</v>
      </c>
      <c r="B73" s="1845" t="s">
        <v>2091</v>
      </c>
      <c r="C73" s="1855"/>
      <c r="D73" s="1855"/>
      <c r="E73" s="1855"/>
      <c r="F73" s="1847">
        <v>0.05</v>
      </c>
    </row>
    <row r="74" spans="1:6" ht="24.75" thickBot="1">
      <c r="A74" s="1841" t="s">
        <v>925</v>
      </c>
      <c r="B74" s="1845" t="s">
        <v>2092</v>
      </c>
      <c r="C74" s="1855"/>
      <c r="D74" s="1855"/>
      <c r="E74" s="1855"/>
      <c r="F74" s="1847">
        <v>0.05</v>
      </c>
    </row>
    <row r="75" spans="1:6" ht="24.75" thickBot="1">
      <c r="A75" s="1849" t="s">
        <v>925</v>
      </c>
      <c r="B75" s="1856" t="s">
        <v>2093</v>
      </c>
      <c r="C75" s="1852"/>
      <c r="D75" s="1852"/>
      <c r="E75" s="1852"/>
      <c r="F75" s="1857">
        <v>0.05</v>
      </c>
    </row>
    <row r="76" spans="1:6" ht="14.25" thickBot="1">
      <c r="A76" s="1841" t="s">
        <v>1407</v>
      </c>
      <c r="B76" s="1842" t="s">
        <v>2094</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24.75" thickBot="1">
      <c r="A102" s="1841" t="s">
        <v>1407</v>
      </c>
      <c r="B102" s="1845" t="s">
        <v>2095</v>
      </c>
      <c r="C102" s="1855"/>
      <c r="D102" s="1855"/>
      <c r="E102" s="1855"/>
      <c r="F102" s="1847">
        <v>0.05</v>
      </c>
    </row>
    <row r="103" spans="1:6" ht="24.75" thickBot="1">
      <c r="A103" s="1841" t="s">
        <v>1407</v>
      </c>
      <c r="B103" s="1845" t="s">
        <v>2096</v>
      </c>
      <c r="C103" s="1855"/>
      <c r="D103" s="1855"/>
      <c r="E103" s="1855"/>
      <c r="F103" s="1847">
        <v>0.05</v>
      </c>
    </row>
    <row r="104" spans="1:6" ht="14.25" thickBot="1">
      <c r="A104" s="1841" t="s">
        <v>1407</v>
      </c>
      <c r="B104" s="1845" t="s">
        <v>2097</v>
      </c>
      <c r="C104" s="1855"/>
      <c r="D104" s="1855"/>
      <c r="E104" s="1855"/>
      <c r="F104" s="1847">
        <v>0.05</v>
      </c>
    </row>
    <row r="105" spans="1:6" ht="14.25" thickBot="1">
      <c r="A105" s="1841" t="s">
        <v>1407</v>
      </c>
      <c r="B105" s="1845" t="s">
        <v>2098</v>
      </c>
      <c r="C105" s="1855"/>
      <c r="D105" s="1855"/>
      <c r="E105" s="1855"/>
      <c r="F105" s="1847">
        <v>0.05</v>
      </c>
    </row>
    <row r="106" spans="1:6" ht="14.25" thickBot="1">
      <c r="A106" s="1841" t="s">
        <v>1407</v>
      </c>
      <c r="B106" s="1845" t="s">
        <v>2099</v>
      </c>
      <c r="C106" s="1855"/>
      <c r="D106" s="1855"/>
      <c r="E106" s="1855"/>
      <c r="F106" s="1847">
        <v>0.05</v>
      </c>
    </row>
    <row r="107" spans="1:6" ht="24.75" thickBot="1">
      <c r="A107" s="1841" t="s">
        <v>1407</v>
      </c>
      <c r="B107" s="1845" t="s">
        <v>2100</v>
      </c>
      <c r="C107" s="1855"/>
      <c r="D107" s="1855"/>
      <c r="E107" s="1855"/>
      <c r="F107" s="1847">
        <v>0.05</v>
      </c>
    </row>
    <row r="108" spans="1:6" ht="24.75" thickBot="1">
      <c r="A108" s="1841" t="s">
        <v>1407</v>
      </c>
      <c r="B108" s="1845" t="s">
        <v>2101</v>
      </c>
      <c r="C108" s="1855"/>
      <c r="D108" s="1855"/>
      <c r="E108" s="1855"/>
      <c r="F108" s="1847">
        <v>0.05</v>
      </c>
    </row>
    <row r="109" spans="1:6" ht="24.75" thickBot="1">
      <c r="A109" s="1849" t="s">
        <v>1407</v>
      </c>
      <c r="B109" s="1856" t="s">
        <v>2102</v>
      </c>
      <c r="C109" s="1852"/>
      <c r="D109" s="1852"/>
      <c r="E109" s="1852"/>
      <c r="F109" s="1857">
        <v>0.05</v>
      </c>
    </row>
    <row r="110" spans="1:6" ht="14.25" thickBot="1">
      <c r="A110" s="1841" t="s">
        <v>1409</v>
      </c>
      <c r="B110" s="1842" t="s">
        <v>2103</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2104</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2105</v>
      </c>
      <c r="C138" s="1846">
        <v>0.105</v>
      </c>
      <c r="D138" s="1846">
        <v>0.125</v>
      </c>
      <c r="E138" s="1846">
        <v>0.112</v>
      </c>
      <c r="F138" s="1854"/>
    </row>
    <row r="139" spans="1:6" ht="14.25" thickBot="1">
      <c r="A139" s="1841" t="s">
        <v>1409</v>
      </c>
      <c r="B139" s="1845" t="s">
        <v>2106</v>
      </c>
      <c r="C139" s="1846">
        <v>0.127</v>
      </c>
      <c r="D139" s="1846">
        <v>0.127</v>
      </c>
      <c r="E139" s="1846">
        <v>0.122</v>
      </c>
      <c r="F139" s="1847">
        <v>0.13</v>
      </c>
    </row>
    <row r="140" spans="1:6" ht="14.25" thickBot="1">
      <c r="A140" s="1841" t="s">
        <v>1409</v>
      </c>
      <c r="B140" s="1845" t="s">
        <v>2107</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2108</v>
      </c>
      <c r="C144" s="1859">
        <v>0.126</v>
      </c>
      <c r="D144" s="1859">
        <v>0.126</v>
      </c>
      <c r="E144" s="1859">
        <v>0.121</v>
      </c>
      <c r="F144" s="1854"/>
    </row>
    <row r="145" spans="1:6" ht="14.25" thickBot="1">
      <c r="A145" s="1849" t="s">
        <v>1409</v>
      </c>
      <c r="B145" s="1860" t="s">
        <v>2109</v>
      </c>
      <c r="C145" s="1861"/>
      <c r="D145" s="1861"/>
      <c r="E145" s="1861"/>
      <c r="F145" s="1862">
        <v>0.05</v>
      </c>
    </row>
    <row r="146" spans="1:6" ht="24.75" thickBot="1">
      <c r="A146" s="1863" t="s">
        <v>1409</v>
      </c>
      <c r="B146" s="1848" t="s">
        <v>2110</v>
      </c>
      <c r="C146" s="1855"/>
      <c r="D146" s="1855"/>
      <c r="E146" s="1855"/>
      <c r="F146" s="1864">
        <v>0.05</v>
      </c>
    </row>
    <row r="147" spans="1:6" ht="24.75" thickBot="1">
      <c r="A147" s="1841" t="s">
        <v>1409</v>
      </c>
      <c r="B147" s="1845" t="s">
        <v>2111</v>
      </c>
      <c r="C147" s="1855"/>
      <c r="D147" s="1855"/>
      <c r="E147" s="1855"/>
      <c r="F147" s="1847">
        <v>0.05</v>
      </c>
    </row>
    <row r="148" spans="1:6" ht="24.75" thickBot="1">
      <c r="A148" s="1841" t="s">
        <v>1409</v>
      </c>
      <c r="B148" s="1845" t="s">
        <v>2112</v>
      </c>
      <c r="C148" s="1855"/>
      <c r="D148" s="1855"/>
      <c r="E148" s="1855"/>
      <c r="F148" s="1847">
        <v>0.05</v>
      </c>
    </row>
    <row r="149" spans="1:6" ht="24.75" thickBot="1">
      <c r="A149" s="1841" t="s">
        <v>1409</v>
      </c>
      <c r="B149" s="1845" t="s">
        <v>2113</v>
      </c>
      <c r="C149" s="1855"/>
      <c r="D149" s="1855"/>
      <c r="E149" s="1855"/>
      <c r="F149" s="1847">
        <v>0.05</v>
      </c>
    </row>
    <row r="150" spans="1:6" ht="24.75" thickBot="1">
      <c r="A150" s="1841" t="s">
        <v>1409</v>
      </c>
      <c r="B150" s="1845" t="s">
        <v>2114</v>
      </c>
      <c r="C150" s="1855"/>
      <c r="D150" s="1855"/>
      <c r="E150" s="1855"/>
      <c r="F150" s="1847">
        <v>0.05</v>
      </c>
    </row>
    <row r="151" spans="1:6" ht="24.75" thickBot="1">
      <c r="A151" s="1841" t="s">
        <v>1409</v>
      </c>
      <c r="B151" s="1845" t="s">
        <v>2115</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2116</v>
      </c>
      <c r="C153" s="1855"/>
      <c r="D153" s="1855"/>
      <c r="E153" s="1855"/>
      <c r="F153" s="1847">
        <v>0.05</v>
      </c>
    </row>
    <row r="154" spans="1:6" ht="14.25" thickBot="1">
      <c r="A154" s="1841" t="s">
        <v>1409</v>
      </c>
      <c r="B154" s="1845" t="s">
        <v>2117</v>
      </c>
      <c r="C154" s="1855"/>
      <c r="D154" s="1855"/>
      <c r="E154" s="1855"/>
      <c r="F154" s="1847">
        <v>0.05</v>
      </c>
    </row>
    <row r="155" spans="1:6" ht="24.75" thickBot="1">
      <c r="A155" s="1841" t="s">
        <v>1409</v>
      </c>
      <c r="B155" s="1845" t="s">
        <v>2118</v>
      </c>
      <c r="C155" s="1855"/>
      <c r="D155" s="1855"/>
      <c r="E155" s="1855"/>
      <c r="F155" s="1847">
        <v>0.05</v>
      </c>
    </row>
    <row r="156" spans="1:6" ht="24.75" thickBot="1">
      <c r="A156" s="1841" t="s">
        <v>1409</v>
      </c>
      <c r="B156" s="1845" t="s">
        <v>2119</v>
      </c>
      <c r="C156" s="1855"/>
      <c r="D156" s="1855"/>
      <c r="E156" s="1855"/>
      <c r="F156" s="1847">
        <v>0.05</v>
      </c>
    </row>
    <row r="157" spans="1:6" ht="14.25" thickBot="1">
      <c r="A157" s="1849" t="s">
        <v>1409</v>
      </c>
      <c r="B157" s="1856" t="s">
        <v>2120</v>
      </c>
      <c r="C157" s="1852"/>
      <c r="D157" s="1852"/>
      <c r="E157" s="1852"/>
      <c r="F157" s="1857">
        <v>0.05</v>
      </c>
    </row>
    <row r="158" spans="1:6" ht="14.25" thickBot="1">
      <c r="A158" s="1841" t="s">
        <v>1411</v>
      </c>
      <c r="B158" s="1842" t="s">
        <v>2121</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2122</v>
      </c>
      <c r="C171" s="1846">
        <v>0.127</v>
      </c>
      <c r="D171" s="1846">
        <v>0.126</v>
      </c>
      <c r="E171" s="1846">
        <v>0.126</v>
      </c>
      <c r="F171" s="1847">
        <v>0.11799999999999999</v>
      </c>
    </row>
    <row r="172" spans="1:6" ht="14.25" thickBot="1">
      <c r="A172" s="1841" t="s">
        <v>1411</v>
      </c>
      <c r="B172" s="1845" t="s">
        <v>2123</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2124</v>
      </c>
      <c r="C174" s="1846">
        <v>0.13</v>
      </c>
      <c r="D174" s="1846">
        <v>0.13</v>
      </c>
      <c r="E174" s="1846">
        <v>0.13</v>
      </c>
      <c r="F174" s="1847">
        <v>0.13</v>
      </c>
    </row>
    <row r="175" spans="1:6" ht="14.25" thickBot="1">
      <c r="A175" s="1841" t="s">
        <v>1411</v>
      </c>
      <c r="B175" s="1845" t="s">
        <v>2125</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2126</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2127</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2128</v>
      </c>
      <c r="C185" s="1846">
        <v>0.127</v>
      </c>
      <c r="D185" s="1846">
        <v>0.127</v>
      </c>
      <c r="E185" s="1846">
        <v>0.128</v>
      </c>
      <c r="F185" s="1847">
        <v>0.13</v>
      </c>
    </row>
    <row r="186" spans="1:6" ht="24.75" thickBot="1">
      <c r="A186" s="1841" t="s">
        <v>1411</v>
      </c>
      <c r="B186" s="1845" t="s">
        <v>2129</v>
      </c>
      <c r="C186" s="1855"/>
      <c r="D186" s="1855"/>
      <c r="E186" s="1855"/>
      <c r="F186" s="1847">
        <v>0.05</v>
      </c>
    </row>
    <row r="187" spans="1:6" ht="14.25" thickBot="1">
      <c r="A187" s="1841" t="s">
        <v>1411</v>
      </c>
      <c r="B187" s="1845" t="s">
        <v>2130</v>
      </c>
      <c r="C187" s="1855"/>
      <c r="D187" s="1855"/>
      <c r="E187" s="1855"/>
      <c r="F187" s="1847">
        <v>0.05</v>
      </c>
    </row>
    <row r="188" spans="1:6" ht="24.75" thickBot="1">
      <c r="A188" s="1841" t="s">
        <v>1411</v>
      </c>
      <c r="B188" s="1845" t="s">
        <v>2131</v>
      </c>
      <c r="C188" s="1855"/>
      <c r="D188" s="1855"/>
      <c r="E188" s="1855"/>
      <c r="F188" s="1847">
        <v>0.05</v>
      </c>
    </row>
    <row r="189" spans="1:6" ht="24.75" thickBot="1">
      <c r="A189" s="1841" t="s">
        <v>1411</v>
      </c>
      <c r="B189" s="1845" t="s">
        <v>2132</v>
      </c>
      <c r="C189" s="1855"/>
      <c r="D189" s="1855"/>
      <c r="E189" s="1855"/>
      <c r="F189" s="1847">
        <v>0.05</v>
      </c>
    </row>
    <row r="190" spans="1:6" ht="24.75" thickBot="1">
      <c r="A190" s="1841" t="s">
        <v>1411</v>
      </c>
      <c r="B190" s="1845" t="s">
        <v>2133</v>
      </c>
      <c r="C190" s="1855"/>
      <c r="D190" s="1855"/>
      <c r="E190" s="1855"/>
      <c r="F190" s="1847">
        <v>0.05</v>
      </c>
    </row>
    <row r="191" spans="1:6" ht="24.75" thickBot="1">
      <c r="A191" s="1841" t="s">
        <v>1411</v>
      </c>
      <c r="B191" s="1845" t="s">
        <v>2134</v>
      </c>
      <c r="C191" s="1855"/>
      <c r="D191" s="1855"/>
      <c r="E191" s="1855"/>
      <c r="F191" s="1847">
        <v>0.05</v>
      </c>
    </row>
    <row r="192" spans="1:6" ht="24.75" thickBot="1">
      <c r="A192" s="1841" t="s">
        <v>1411</v>
      </c>
      <c r="B192" s="1845" t="s">
        <v>2135</v>
      </c>
      <c r="C192" s="1855"/>
      <c r="D192" s="1855"/>
      <c r="E192" s="1855"/>
      <c r="F192" s="1847">
        <v>0.05</v>
      </c>
    </row>
    <row r="193" spans="1:6" ht="24.75" thickBot="1">
      <c r="A193" s="1841" t="s">
        <v>1411</v>
      </c>
      <c r="B193" s="1845" t="s">
        <v>2136</v>
      </c>
      <c r="C193" s="1855"/>
      <c r="D193" s="1855"/>
      <c r="E193" s="1855"/>
      <c r="F193" s="1847">
        <v>0.05</v>
      </c>
    </row>
    <row r="194" spans="1:6" ht="24.75" thickBot="1">
      <c r="A194" s="1841" t="s">
        <v>1411</v>
      </c>
      <c r="B194" s="1845" t="s">
        <v>2137</v>
      </c>
      <c r="C194" s="1855"/>
      <c r="D194" s="1855"/>
      <c r="E194" s="1855"/>
      <c r="F194" s="1847">
        <v>0.05</v>
      </c>
    </row>
    <row r="195" spans="1:6" ht="14.25" thickBot="1">
      <c r="A195" s="1841" t="s">
        <v>1411</v>
      </c>
      <c r="B195" s="1845" t="s">
        <v>2138</v>
      </c>
      <c r="C195" s="1855"/>
      <c r="D195" s="1855"/>
      <c r="E195" s="1855"/>
      <c r="F195" s="1847">
        <v>0.05</v>
      </c>
    </row>
    <row r="196" spans="1:6" ht="24.75" thickBot="1">
      <c r="A196" s="1841" t="s">
        <v>1411</v>
      </c>
      <c r="B196" s="1845" t="s">
        <v>2139</v>
      </c>
      <c r="C196" s="1855"/>
      <c r="D196" s="1855"/>
      <c r="E196" s="1855"/>
      <c r="F196" s="1847">
        <v>0.05</v>
      </c>
    </row>
    <row r="197" spans="1:6" ht="24.75" thickBot="1">
      <c r="A197" s="1841" t="s">
        <v>1411</v>
      </c>
      <c r="B197" s="1845" t="s">
        <v>2140</v>
      </c>
      <c r="C197" s="1855"/>
      <c r="D197" s="1855"/>
      <c r="E197" s="1855"/>
      <c r="F197" s="1847">
        <v>0.05</v>
      </c>
    </row>
    <row r="198" spans="1:6" ht="24.75" thickBot="1">
      <c r="A198" s="1841" t="s">
        <v>1411</v>
      </c>
      <c r="B198" s="1845" t="s">
        <v>2141</v>
      </c>
      <c r="C198" s="1855"/>
      <c r="D198" s="1855"/>
      <c r="E198" s="1855"/>
      <c r="F198" s="1847">
        <v>0.05</v>
      </c>
    </row>
    <row r="199" spans="1:6" ht="24.75" thickBot="1">
      <c r="A199" s="1841" t="s">
        <v>1411</v>
      </c>
      <c r="B199" s="1845" t="s">
        <v>2142</v>
      </c>
      <c r="C199" s="1855"/>
      <c r="D199" s="1855"/>
      <c r="E199" s="1855"/>
      <c r="F199" s="1847">
        <v>0.05</v>
      </c>
    </row>
    <row r="200" spans="1:6" ht="24.75" thickBot="1">
      <c r="A200" s="1841" t="s">
        <v>1411</v>
      </c>
      <c r="B200" s="1845" t="s">
        <v>2143</v>
      </c>
      <c r="C200" s="1855"/>
      <c r="D200" s="1855"/>
      <c r="E200" s="1855"/>
      <c r="F200" s="1847">
        <v>0.05</v>
      </c>
    </row>
    <row r="201" spans="1:6" ht="24.75" thickBot="1">
      <c r="A201" s="1841" t="s">
        <v>1411</v>
      </c>
      <c r="B201" s="1845" t="s">
        <v>2144</v>
      </c>
      <c r="C201" s="1855"/>
      <c r="D201" s="1855"/>
      <c r="E201" s="1855"/>
      <c r="F201" s="1847">
        <v>0.05</v>
      </c>
    </row>
    <row r="202" spans="1:6" ht="24.75" thickBot="1">
      <c r="A202" s="1841" t="s">
        <v>1411</v>
      </c>
      <c r="B202" s="1845" t="s">
        <v>2145</v>
      </c>
      <c r="C202" s="1855"/>
      <c r="D202" s="1855"/>
      <c r="E202" s="1855"/>
      <c r="F202" s="1847">
        <v>0.05</v>
      </c>
    </row>
    <row r="203" spans="1:6" ht="24.75" thickBot="1">
      <c r="A203" s="1841" t="s">
        <v>1411</v>
      </c>
      <c r="B203" s="1845" t="s">
        <v>2146</v>
      </c>
      <c r="C203" s="1855"/>
      <c r="D203" s="1855"/>
      <c r="E203" s="1855"/>
      <c r="F203" s="1847">
        <v>0.05</v>
      </c>
    </row>
    <row r="204" spans="1:6" ht="14.25" thickBot="1">
      <c r="A204" s="1841" t="s">
        <v>1411</v>
      </c>
      <c r="B204" s="1845" t="s">
        <v>2147</v>
      </c>
      <c r="C204" s="1855"/>
      <c r="D204" s="1855"/>
      <c r="E204" s="1855"/>
      <c r="F204" s="1847">
        <v>0.05</v>
      </c>
    </row>
    <row r="205" spans="1:6" ht="14.25" thickBot="1">
      <c r="A205" s="1849" t="s">
        <v>1411</v>
      </c>
      <c r="B205" s="1856" t="s">
        <v>2148</v>
      </c>
      <c r="C205" s="1852"/>
      <c r="D205" s="1852"/>
      <c r="E205" s="1852"/>
      <c r="F205" s="1857">
        <v>0.05</v>
      </c>
    </row>
    <row r="206" spans="1:6" ht="14.25" thickBot="1">
      <c r="A206" s="1841" t="s">
        <v>1413</v>
      </c>
      <c r="B206" s="1842" t="s">
        <v>2149</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2150</v>
      </c>
      <c r="C210" s="1846">
        <v>0.15</v>
      </c>
      <c r="D210" s="1846">
        <v>0.15</v>
      </c>
      <c r="E210" s="1846">
        <v>0.15</v>
      </c>
      <c r="F210" s="1847">
        <v>0.13800000000000001</v>
      </c>
    </row>
    <row r="211" spans="1:6" ht="14.25" thickBot="1">
      <c r="A211" s="1841" t="s">
        <v>1413</v>
      </c>
      <c r="B211" s="1845" t="s">
        <v>2151</v>
      </c>
      <c r="C211" s="1846">
        <v>0.13700000000000001</v>
      </c>
      <c r="D211" s="1846">
        <v>0.13500000000000001</v>
      </c>
      <c r="E211" s="1846">
        <v>0.13600000000000001</v>
      </c>
      <c r="F211" s="1847">
        <v>0.1</v>
      </c>
    </row>
    <row r="212" spans="1:6" ht="14.25" thickBot="1">
      <c r="A212" s="1841" t="s">
        <v>1413</v>
      </c>
      <c r="B212" s="1845" t="s">
        <v>2152</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2153</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2154</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2155</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2156</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2157</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2158</v>
      </c>
      <c r="C231" s="1846">
        <v>0.128</v>
      </c>
      <c r="D231" s="1846">
        <v>0.125</v>
      </c>
      <c r="E231" s="1846">
        <v>0.13200000000000001</v>
      </c>
      <c r="F231" s="1854"/>
    </row>
    <row r="232" spans="1:6" ht="14.25" thickBot="1">
      <c r="A232" s="1841" t="s">
        <v>1413</v>
      </c>
      <c r="B232" s="1845" t="s">
        <v>2159</v>
      </c>
      <c r="C232" s="1846">
        <v>0.14499999999999999</v>
      </c>
      <c r="D232" s="1846">
        <v>0.14399999999999999</v>
      </c>
      <c r="E232" s="1846">
        <v>0.14599999999999999</v>
      </c>
      <c r="F232" s="1847">
        <v>0.13800000000000001</v>
      </c>
    </row>
    <row r="233" spans="1:6" ht="14.25" thickBot="1">
      <c r="A233" s="1841" t="s">
        <v>1413</v>
      </c>
      <c r="B233" s="1845" t="s">
        <v>2160</v>
      </c>
      <c r="C233" s="1846">
        <v>0.14499999999999999</v>
      </c>
      <c r="D233" s="1846">
        <v>0.14299999999999999</v>
      </c>
      <c r="E233" s="1846">
        <v>0.14199999999999999</v>
      </c>
      <c r="F233" s="1854"/>
    </row>
    <row r="234" spans="1:6" ht="14.25" thickBot="1">
      <c r="A234" s="1841" t="s">
        <v>1413</v>
      </c>
      <c r="B234" s="1845" t="s">
        <v>2161</v>
      </c>
      <c r="C234" s="1846">
        <v>0.14000000000000001</v>
      </c>
      <c r="D234" s="1846">
        <v>0.14000000000000001</v>
      </c>
      <c r="E234" s="1846">
        <v>0.14399999999999999</v>
      </c>
      <c r="F234" s="1854"/>
    </row>
    <row r="235" spans="1:6" ht="14.25" thickBot="1">
      <c r="A235" s="1841" t="s">
        <v>1413</v>
      </c>
      <c r="B235" s="1845" t="s">
        <v>2162</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2163</v>
      </c>
      <c r="C237" s="1855"/>
      <c r="D237" s="1855"/>
      <c r="E237" s="1855"/>
      <c r="F237" s="1847">
        <v>0.05</v>
      </c>
    </row>
    <row r="238" spans="1:6" ht="24.75" thickBot="1">
      <c r="A238" s="1841" t="s">
        <v>1413</v>
      </c>
      <c r="B238" s="1845" t="s">
        <v>2164</v>
      </c>
      <c r="C238" s="1855"/>
      <c r="D238" s="1855"/>
      <c r="E238" s="1855"/>
      <c r="F238" s="1847">
        <v>0.05</v>
      </c>
    </row>
    <row r="239" spans="1:6" ht="24.75" thickBot="1">
      <c r="A239" s="1841" t="s">
        <v>1413</v>
      </c>
      <c r="B239" s="1845" t="s">
        <v>2165</v>
      </c>
      <c r="C239" s="1855"/>
      <c r="D239" s="1855"/>
      <c r="E239" s="1855"/>
      <c r="F239" s="1847">
        <v>0.05</v>
      </c>
    </row>
    <row r="240" spans="1:6" ht="24.75" thickBot="1">
      <c r="A240" s="1841" t="s">
        <v>1413</v>
      </c>
      <c r="B240" s="1845" t="s">
        <v>2166</v>
      </c>
      <c r="C240" s="1855"/>
      <c r="D240" s="1855"/>
      <c r="E240" s="1855"/>
      <c r="F240" s="1847">
        <v>0.05</v>
      </c>
    </row>
    <row r="241" spans="1:6" ht="24.75" thickBot="1">
      <c r="A241" s="1841" t="s">
        <v>1413</v>
      </c>
      <c r="B241" s="1845" t="s">
        <v>2167</v>
      </c>
      <c r="C241" s="1855"/>
      <c r="D241" s="1855"/>
      <c r="E241" s="1855"/>
      <c r="F241" s="1847">
        <v>0.05</v>
      </c>
    </row>
    <row r="242" spans="1:6" ht="24.75" thickBot="1">
      <c r="A242" s="1841" t="s">
        <v>1413</v>
      </c>
      <c r="B242" s="1845" t="s">
        <v>2168</v>
      </c>
      <c r="C242" s="1855"/>
      <c r="D242" s="1855"/>
      <c r="E242" s="1855"/>
      <c r="F242" s="1847">
        <v>0.05</v>
      </c>
    </row>
    <row r="243" spans="1:6" ht="24.75" thickBot="1">
      <c r="A243" s="1841" t="s">
        <v>1413</v>
      </c>
      <c r="B243" s="1845" t="s">
        <v>2169</v>
      </c>
      <c r="C243" s="1855"/>
      <c r="D243" s="1855"/>
      <c r="E243" s="1855"/>
      <c r="F243" s="1847">
        <v>0.05</v>
      </c>
    </row>
    <row r="244" spans="1:6" ht="24.75" thickBot="1">
      <c r="A244" s="1849" t="s">
        <v>1413</v>
      </c>
      <c r="B244" s="1856" t="s">
        <v>2170</v>
      </c>
      <c r="C244" s="1852"/>
      <c r="D244" s="1852"/>
      <c r="E244" s="1852"/>
      <c r="F244" s="1857">
        <v>0.05</v>
      </c>
    </row>
    <row r="245" spans="1:6" ht="14.25" thickBot="1">
      <c r="A245" s="1841" t="s">
        <v>1415</v>
      </c>
      <c r="B245" s="1842" t="s">
        <v>2171</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2172</v>
      </c>
      <c r="C247" s="1846">
        <v>0.15</v>
      </c>
      <c r="D247" s="1846">
        <v>0.15</v>
      </c>
      <c r="E247" s="1846">
        <v>0.15</v>
      </c>
      <c r="F247" s="1847">
        <v>0.15</v>
      </c>
    </row>
    <row r="248" spans="1:6" ht="14.25" thickBot="1">
      <c r="A248" s="1841" t="s">
        <v>1415</v>
      </c>
      <c r="B248" s="1845" t="s">
        <v>2173</v>
      </c>
      <c r="C248" s="1846">
        <v>0.15</v>
      </c>
      <c r="D248" s="1846">
        <v>0.15</v>
      </c>
      <c r="E248" s="1846">
        <v>0.15</v>
      </c>
      <c r="F248" s="1847">
        <v>0.14000000000000001</v>
      </c>
    </row>
    <row r="249" spans="1:6" ht="14.25" thickBot="1">
      <c r="A249" s="1841" t="s">
        <v>1415</v>
      </c>
      <c r="B249" s="1845" t="s">
        <v>2174</v>
      </c>
      <c r="C249" s="1846">
        <v>0.15</v>
      </c>
      <c r="D249" s="1846">
        <v>0.14899999999999999</v>
      </c>
      <c r="E249" s="1846">
        <v>0.15</v>
      </c>
      <c r="F249" s="1847">
        <v>0.1</v>
      </c>
    </row>
    <row r="250" spans="1:6" ht="14.25" thickBot="1">
      <c r="A250" s="1841" t="s">
        <v>1415</v>
      </c>
      <c r="B250" s="1845" t="s">
        <v>2175</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2176</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2177</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2178</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2179</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2180</v>
      </c>
      <c r="C273" s="1846">
        <v>0.14199999999999999</v>
      </c>
      <c r="D273" s="1846">
        <v>0.14299999999999999</v>
      </c>
      <c r="E273" s="1846">
        <v>0.15</v>
      </c>
      <c r="F273" s="1847">
        <v>0.1</v>
      </c>
    </row>
    <row r="274" spans="1:6" ht="14.25" thickBot="1">
      <c r="A274" s="1841" t="s">
        <v>1415</v>
      </c>
      <c r="B274" s="1845" t="s">
        <v>2181</v>
      </c>
      <c r="C274" s="1846">
        <v>0.14799999999999999</v>
      </c>
      <c r="D274" s="1846">
        <v>0.14799999999999999</v>
      </c>
      <c r="E274" s="1846">
        <v>0.15</v>
      </c>
      <c r="F274" s="1847">
        <v>6.7000000000000004E-2</v>
      </c>
    </row>
    <row r="275" spans="1:6" ht="14.25" thickBot="1">
      <c r="A275" s="1841" t="s">
        <v>1415</v>
      </c>
      <c r="B275" s="1845" t="s">
        <v>2182</v>
      </c>
      <c r="C275" s="1846">
        <v>0.15</v>
      </c>
      <c r="D275" s="1846">
        <v>0.15</v>
      </c>
      <c r="E275" s="1846">
        <v>0.15</v>
      </c>
      <c r="F275" s="1847">
        <v>0.15</v>
      </c>
    </row>
    <row r="276" spans="1:6" ht="14.25" thickBot="1">
      <c r="A276" s="1841" t="s">
        <v>1415</v>
      </c>
      <c r="B276" s="1845" t="s">
        <v>2183</v>
      </c>
      <c r="C276" s="1846">
        <v>0.14499999999999999</v>
      </c>
      <c r="D276" s="1846">
        <v>0.14299999999999999</v>
      </c>
      <c r="E276" s="1846">
        <v>0.15</v>
      </c>
      <c r="F276" s="1847">
        <v>5.8999999999999997E-2</v>
      </c>
    </row>
    <row r="277" spans="1:6" ht="14.25" thickBot="1">
      <c r="A277" s="1841" t="s">
        <v>1415</v>
      </c>
      <c r="B277" s="1845" t="s">
        <v>2184</v>
      </c>
      <c r="C277" s="1846">
        <v>0.15</v>
      </c>
      <c r="D277" s="1846">
        <v>0.15</v>
      </c>
      <c r="E277" s="1846">
        <v>0.15</v>
      </c>
      <c r="F277" s="1847">
        <v>0.121</v>
      </c>
    </row>
    <row r="278" spans="1:6" ht="14.25" thickBot="1">
      <c r="A278" s="1841" t="s">
        <v>1415</v>
      </c>
      <c r="B278" s="1845" t="s">
        <v>2185</v>
      </c>
      <c r="C278" s="1846">
        <v>0.15</v>
      </c>
      <c r="D278" s="1846">
        <v>0.15</v>
      </c>
      <c r="E278" s="1846">
        <v>0.15</v>
      </c>
      <c r="F278" s="1847">
        <v>0.13800000000000001</v>
      </c>
    </row>
    <row r="279" spans="1:6" ht="24.75" thickBot="1">
      <c r="A279" s="1841" t="s">
        <v>1415</v>
      </c>
      <c r="B279" s="1845" t="s">
        <v>2186</v>
      </c>
      <c r="C279" s="1855"/>
      <c r="D279" s="1855"/>
      <c r="E279" s="1855"/>
      <c r="F279" s="1847">
        <v>0.05</v>
      </c>
    </row>
    <row r="280" spans="1:6" ht="24.75" thickBot="1">
      <c r="A280" s="1841" t="s">
        <v>1415</v>
      </c>
      <c r="B280" s="1845" t="s">
        <v>2187</v>
      </c>
      <c r="C280" s="1855"/>
      <c r="D280" s="1855"/>
      <c r="E280" s="1855"/>
      <c r="F280" s="1847">
        <v>0.05</v>
      </c>
    </row>
    <row r="281" spans="1:6" ht="24.75" thickBot="1">
      <c r="A281" s="1841" t="s">
        <v>1415</v>
      </c>
      <c r="B281" s="1845" t="s">
        <v>2188</v>
      </c>
      <c r="C281" s="1855"/>
      <c r="D281" s="1855"/>
      <c r="E281" s="1855"/>
      <c r="F281" s="1847">
        <v>0.05</v>
      </c>
    </row>
    <row r="282" spans="1:6" ht="24.75" thickBot="1">
      <c r="A282" s="1841" t="s">
        <v>1415</v>
      </c>
      <c r="B282" s="1845" t="s">
        <v>2189</v>
      </c>
      <c r="C282" s="1855"/>
      <c r="D282" s="1855"/>
      <c r="E282" s="1855"/>
      <c r="F282" s="1847">
        <v>0.05</v>
      </c>
    </row>
    <row r="283" spans="1:6" ht="24.75" thickBot="1">
      <c r="A283" s="1841" t="s">
        <v>1415</v>
      </c>
      <c r="B283" s="1845" t="s">
        <v>2190</v>
      </c>
      <c r="C283" s="1855"/>
      <c r="D283" s="1855"/>
      <c r="E283" s="1855"/>
      <c r="F283" s="1847">
        <v>0.05</v>
      </c>
    </row>
    <row r="284" spans="1:6" ht="24.75" thickBot="1">
      <c r="A284" s="1841" t="s">
        <v>1415</v>
      </c>
      <c r="B284" s="1845" t="s">
        <v>2191</v>
      </c>
      <c r="C284" s="1855"/>
      <c r="D284" s="1855"/>
      <c r="E284" s="1855"/>
      <c r="F284" s="1847">
        <v>0.05</v>
      </c>
    </row>
    <row r="285" spans="1:6" ht="24.75" thickBot="1">
      <c r="A285" s="1841" t="s">
        <v>1415</v>
      </c>
      <c r="B285" s="1845" t="s">
        <v>2192</v>
      </c>
      <c r="C285" s="1855"/>
      <c r="D285" s="1855"/>
      <c r="E285" s="1855"/>
      <c r="F285" s="1847">
        <v>0.05</v>
      </c>
    </row>
    <row r="286" spans="1:6" ht="24.75" thickBot="1">
      <c r="A286" s="1841" t="s">
        <v>1415</v>
      </c>
      <c r="B286" s="1845" t="s">
        <v>2193</v>
      </c>
      <c r="C286" s="1855"/>
      <c r="D286" s="1855"/>
      <c r="E286" s="1855"/>
      <c r="F286" s="1847">
        <v>0.05</v>
      </c>
    </row>
    <row r="287" spans="1:6" ht="24.75" thickBot="1">
      <c r="A287" s="1841" t="s">
        <v>1415</v>
      </c>
      <c r="B287" s="1845" t="s">
        <v>2194</v>
      </c>
      <c r="C287" s="1855"/>
      <c r="D287" s="1855"/>
      <c r="E287" s="1855"/>
      <c r="F287" s="1847">
        <v>0.05</v>
      </c>
    </row>
    <row r="288" spans="1:6" ht="24.75" thickBot="1">
      <c r="A288" s="1841" t="s">
        <v>1415</v>
      </c>
      <c r="B288" s="1845" t="s">
        <v>2195</v>
      </c>
      <c r="C288" s="1855"/>
      <c r="D288" s="1855"/>
      <c r="E288" s="1855"/>
      <c r="F288" s="1847">
        <v>0.05</v>
      </c>
    </row>
    <row r="289" spans="1:6" ht="24.75" thickBot="1">
      <c r="A289" s="1849" t="s">
        <v>1415</v>
      </c>
      <c r="B289" s="1856" t="s">
        <v>2196</v>
      </c>
      <c r="C289" s="1852"/>
      <c r="D289" s="1852"/>
      <c r="E289" s="1852"/>
      <c r="F289" s="1857">
        <v>0.05</v>
      </c>
    </row>
    <row r="290" spans="1:6" ht="14.25" thickBot="1">
      <c r="A290" s="1841" t="s">
        <v>1419</v>
      </c>
      <c r="B290" s="1842" t="s">
        <v>2197</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2198</v>
      </c>
      <c r="C292" s="1846">
        <v>0.15</v>
      </c>
      <c r="D292" s="1846">
        <v>0.15</v>
      </c>
      <c r="E292" s="1846">
        <v>0.15</v>
      </c>
      <c r="F292" s="1847">
        <v>0.14699999999999999</v>
      </c>
    </row>
    <row r="293" spans="1:6" ht="14.25" thickBot="1">
      <c r="A293" s="1841" t="s">
        <v>1419</v>
      </c>
      <c r="B293" s="1845" t="s">
        <v>2199</v>
      </c>
      <c r="C293" s="1855"/>
      <c r="D293" s="1855"/>
      <c r="E293" s="1855"/>
      <c r="F293" s="1847">
        <v>0.1</v>
      </c>
    </row>
    <row r="294" spans="1:6" ht="14.25" thickBot="1">
      <c r="A294" s="1841" t="s">
        <v>1419</v>
      </c>
      <c r="B294" s="1845" t="s">
        <v>2200</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2201</v>
      </c>
      <c r="C296" s="1846">
        <v>0.15</v>
      </c>
      <c r="D296" s="1846">
        <v>0.15</v>
      </c>
      <c r="E296" s="1846">
        <v>0.15</v>
      </c>
      <c r="F296" s="1847">
        <v>0.15</v>
      </c>
    </row>
    <row r="297" spans="1:6" ht="14.25" thickBot="1">
      <c r="A297" s="1841" t="s">
        <v>1419</v>
      </c>
      <c r="B297" s="1845" t="s">
        <v>2202</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2203</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2204</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2205</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2206</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2207</v>
      </c>
      <c r="C310" s="1846">
        <v>0.15</v>
      </c>
      <c r="D310" s="1846">
        <v>0.15</v>
      </c>
      <c r="E310" s="1846">
        <v>0.15</v>
      </c>
      <c r="F310" s="1847">
        <v>0.13700000000000001</v>
      </c>
    </row>
    <row r="311" spans="1:6" ht="14.25" thickBot="1">
      <c r="A311" s="1841" t="s">
        <v>1419</v>
      </c>
      <c r="B311" s="1845" t="s">
        <v>2208</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2209</v>
      </c>
      <c r="C313" s="1846">
        <v>0.15</v>
      </c>
      <c r="D313" s="1846">
        <v>0.15</v>
      </c>
      <c r="E313" s="1846">
        <v>0.15</v>
      </c>
      <c r="F313" s="1847">
        <v>0.15</v>
      </c>
    </row>
    <row r="314" spans="1:6" ht="24.75" thickBot="1">
      <c r="A314" s="1841" t="s">
        <v>1419</v>
      </c>
      <c r="B314" s="1845" t="s">
        <v>2210</v>
      </c>
      <c r="C314" s="1855"/>
      <c r="D314" s="1855"/>
      <c r="E314" s="1855"/>
      <c r="F314" s="1847">
        <v>0.05</v>
      </c>
    </row>
    <row r="315" spans="1:6" ht="24.75" thickBot="1">
      <c r="A315" s="1841" t="s">
        <v>1419</v>
      </c>
      <c r="B315" s="1845" t="s">
        <v>2211</v>
      </c>
      <c r="C315" s="1855"/>
      <c r="D315" s="1855"/>
      <c r="E315" s="1855"/>
      <c r="F315" s="1847">
        <v>0.05</v>
      </c>
    </row>
    <row r="316" spans="1:6" ht="24.75" thickBot="1">
      <c r="A316" s="1849" t="s">
        <v>1419</v>
      </c>
      <c r="B316" s="1856" t="s">
        <v>2212</v>
      </c>
      <c r="C316" s="1852"/>
      <c r="D316" s="1852"/>
      <c r="E316" s="1852"/>
      <c r="F316" s="1857">
        <v>0.05</v>
      </c>
    </row>
    <row r="317" spans="1:6" ht="14.25" thickBot="1">
      <c r="A317" s="1841" t="s">
        <v>2213</v>
      </c>
      <c r="B317" s="1842" t="s">
        <v>2214</v>
      </c>
      <c r="C317" s="1843">
        <v>0.15</v>
      </c>
      <c r="D317" s="1843">
        <v>0.15</v>
      </c>
      <c r="E317" s="1843">
        <v>0.15</v>
      </c>
      <c r="F317" s="1844">
        <v>0.15</v>
      </c>
    </row>
    <row r="318" spans="1:6" ht="14.25" thickBot="1">
      <c r="A318" s="1841" t="s">
        <v>2213</v>
      </c>
      <c r="B318" s="1845" t="s">
        <v>2215</v>
      </c>
      <c r="C318" s="1846">
        <v>0.107</v>
      </c>
      <c r="D318" s="1846">
        <v>0.11</v>
      </c>
      <c r="E318" s="1846">
        <v>0.112</v>
      </c>
      <c r="F318" s="1854"/>
    </row>
    <row r="319" spans="1:6" ht="14.25" thickBot="1">
      <c r="A319" s="1841" t="s">
        <v>2213</v>
      </c>
      <c r="B319" s="1845" t="s">
        <v>2216</v>
      </c>
      <c r="C319" s="1846">
        <v>0.15</v>
      </c>
      <c r="D319" s="1846">
        <v>0.15</v>
      </c>
      <c r="E319" s="1846">
        <v>0.15</v>
      </c>
      <c r="F319" s="1847">
        <v>0.15</v>
      </c>
    </row>
    <row r="320" spans="1:6" ht="14.25" thickBot="1">
      <c r="A320" s="1841" t="s">
        <v>2213</v>
      </c>
      <c r="B320" s="1845" t="s">
        <v>1107</v>
      </c>
      <c r="C320" s="1846">
        <v>0.15</v>
      </c>
      <c r="D320" s="1846">
        <v>0.15</v>
      </c>
      <c r="E320" s="1846">
        <v>0.15</v>
      </c>
      <c r="F320" s="1854"/>
    </row>
    <row r="321" spans="1:6" ht="14.25" thickBot="1">
      <c r="A321" s="1841" t="s">
        <v>2213</v>
      </c>
      <c r="B321" s="1845" t="s">
        <v>2217</v>
      </c>
      <c r="C321" s="1846">
        <v>0.15</v>
      </c>
      <c r="D321" s="1846">
        <v>0.15</v>
      </c>
      <c r="E321" s="1846">
        <v>0.15</v>
      </c>
      <c r="F321" s="1854"/>
    </row>
    <row r="322" spans="1:6" ht="14.25" thickBot="1">
      <c r="A322" s="1841" t="s">
        <v>2213</v>
      </c>
      <c r="B322" s="1845" t="s">
        <v>2218</v>
      </c>
      <c r="C322" s="1846">
        <v>0.15</v>
      </c>
      <c r="D322" s="1846">
        <v>0.15</v>
      </c>
      <c r="E322" s="1846">
        <v>0.15</v>
      </c>
      <c r="F322" s="1847">
        <v>0.15</v>
      </c>
    </row>
    <row r="323" spans="1:6" ht="14.25" thickBot="1">
      <c r="A323" s="1841" t="s">
        <v>2213</v>
      </c>
      <c r="B323" s="1845" t="s">
        <v>2219</v>
      </c>
      <c r="C323" s="1846">
        <v>0.15</v>
      </c>
      <c r="D323" s="1846">
        <v>0.15</v>
      </c>
      <c r="E323" s="1846">
        <v>0.15</v>
      </c>
      <c r="F323" s="1854"/>
    </row>
    <row r="324" spans="1:6" ht="14.25" thickBot="1">
      <c r="A324" s="1841" t="s">
        <v>2213</v>
      </c>
      <c r="B324" s="1845" t="s">
        <v>2220</v>
      </c>
      <c r="C324" s="1846">
        <v>0.15</v>
      </c>
      <c r="D324" s="1846">
        <v>0.15</v>
      </c>
      <c r="E324" s="1846">
        <v>0.15</v>
      </c>
      <c r="F324" s="1854"/>
    </row>
    <row r="325" spans="1:6" ht="14.25" thickBot="1">
      <c r="A325" s="1841" t="s">
        <v>2213</v>
      </c>
      <c r="B325" s="1845" t="s">
        <v>2221</v>
      </c>
      <c r="C325" s="1846">
        <v>0.15</v>
      </c>
      <c r="D325" s="1846">
        <v>0.15</v>
      </c>
      <c r="E325" s="1846">
        <v>0.15</v>
      </c>
      <c r="F325" s="1847">
        <v>0.14699999999999999</v>
      </c>
    </row>
    <row r="326" spans="1:6" ht="14.25" thickBot="1">
      <c r="A326" s="1841" t="s">
        <v>2213</v>
      </c>
      <c r="B326" s="1845" t="s">
        <v>1176</v>
      </c>
      <c r="C326" s="1846">
        <v>0.15</v>
      </c>
      <c r="D326" s="1846">
        <v>0.15</v>
      </c>
      <c r="E326" s="1846">
        <v>0.15</v>
      </c>
      <c r="F326" s="1854"/>
    </row>
    <row r="327" spans="1:6" ht="14.25" thickBot="1">
      <c r="A327" s="1841" t="s">
        <v>2213</v>
      </c>
      <c r="B327" s="1845" t="s">
        <v>2222</v>
      </c>
      <c r="C327" s="1846">
        <v>0.15</v>
      </c>
      <c r="D327" s="1846">
        <v>0.15</v>
      </c>
      <c r="E327" s="1846">
        <v>0.15</v>
      </c>
      <c r="F327" s="1847">
        <v>0.15</v>
      </c>
    </row>
    <row r="328" spans="1:6" ht="14.25" thickBot="1">
      <c r="A328" s="1841" t="s">
        <v>2213</v>
      </c>
      <c r="B328" s="1845" t="s">
        <v>1196</v>
      </c>
      <c r="C328" s="1846">
        <v>0.15</v>
      </c>
      <c r="D328" s="1846">
        <v>0.15</v>
      </c>
      <c r="E328" s="1846">
        <v>0.15</v>
      </c>
      <c r="F328" s="1847">
        <v>0.14099999999999999</v>
      </c>
    </row>
    <row r="329" spans="1:6" ht="14.25" thickBot="1">
      <c r="A329" s="1841" t="s">
        <v>2213</v>
      </c>
      <c r="B329" s="1845" t="s">
        <v>1206</v>
      </c>
      <c r="C329" s="1846">
        <v>0.15</v>
      </c>
      <c r="D329" s="1846">
        <v>0.15</v>
      </c>
      <c r="E329" s="1846">
        <v>0.15</v>
      </c>
      <c r="F329" s="1847">
        <v>0.15</v>
      </c>
    </row>
    <row r="330" spans="1:6" ht="14.25" thickBot="1">
      <c r="A330" s="1841" t="s">
        <v>2213</v>
      </c>
      <c r="B330" s="1845" t="s">
        <v>1216</v>
      </c>
      <c r="C330" s="1846">
        <v>0.15</v>
      </c>
      <c r="D330" s="1846">
        <v>0.15</v>
      </c>
      <c r="E330" s="1846">
        <v>0.15</v>
      </c>
      <c r="F330" s="1854"/>
    </row>
    <row r="331" spans="1:6" ht="14.25" thickBot="1">
      <c r="A331" s="1841" t="s">
        <v>2213</v>
      </c>
      <c r="B331" s="1845" t="s">
        <v>2223</v>
      </c>
      <c r="C331" s="1846">
        <v>0.15</v>
      </c>
      <c r="D331" s="1846">
        <v>0.15</v>
      </c>
      <c r="E331" s="1846">
        <v>0.15</v>
      </c>
      <c r="F331" s="1847">
        <v>0.15</v>
      </c>
    </row>
    <row r="332" spans="1:6" ht="14.25" thickBot="1">
      <c r="A332" s="1841" t="s">
        <v>2213</v>
      </c>
      <c r="B332" s="1845" t="s">
        <v>1236</v>
      </c>
      <c r="C332" s="1846">
        <v>0.15</v>
      </c>
      <c r="D332" s="1846">
        <v>0.15</v>
      </c>
      <c r="E332" s="1846">
        <v>0.15</v>
      </c>
      <c r="F332" s="1847">
        <v>0.15</v>
      </c>
    </row>
    <row r="333" spans="1:6" ht="14.25" thickBot="1">
      <c r="A333" s="1841" t="s">
        <v>2213</v>
      </c>
      <c r="B333" s="1845" t="s">
        <v>2224</v>
      </c>
      <c r="C333" s="1846">
        <v>0.15</v>
      </c>
      <c r="D333" s="1846">
        <v>0.15</v>
      </c>
      <c r="E333" s="1846">
        <v>0.15</v>
      </c>
      <c r="F333" s="1847">
        <v>0.14099999999999999</v>
      </c>
    </row>
    <row r="334" spans="1:6" ht="14.25" thickBot="1">
      <c r="A334" s="1841" t="s">
        <v>2213</v>
      </c>
      <c r="B334" s="1845" t="s">
        <v>1256</v>
      </c>
      <c r="C334" s="1846">
        <v>0.15</v>
      </c>
      <c r="D334" s="1846">
        <v>0.15</v>
      </c>
      <c r="E334" s="1846">
        <v>0.15</v>
      </c>
      <c r="F334" s="1847">
        <v>0.15</v>
      </c>
    </row>
    <row r="335" spans="1:6" ht="14.25" thickBot="1">
      <c r="A335" s="1841" t="s">
        <v>2213</v>
      </c>
      <c r="B335" s="1845" t="s">
        <v>1266</v>
      </c>
      <c r="C335" s="1846">
        <v>0.15</v>
      </c>
      <c r="D335" s="1846">
        <v>0.15</v>
      </c>
      <c r="E335" s="1846">
        <v>0.15</v>
      </c>
      <c r="F335" s="1854"/>
    </row>
    <row r="336" spans="1:6" ht="14.25" thickBot="1">
      <c r="A336" s="1841" t="s">
        <v>2213</v>
      </c>
      <c r="B336" s="1845" t="s">
        <v>2225</v>
      </c>
      <c r="C336" s="1846">
        <v>0.15</v>
      </c>
      <c r="D336" s="1846">
        <v>0.15</v>
      </c>
      <c r="E336" s="1846">
        <v>0.15</v>
      </c>
      <c r="F336" s="1847">
        <v>0.11799999999999999</v>
      </c>
    </row>
    <row r="337" spans="1:6" ht="14.25" thickBot="1">
      <c r="A337" s="1849" t="s">
        <v>2213</v>
      </c>
      <c r="B337" s="1856" t="s">
        <v>1284</v>
      </c>
      <c r="C337" s="1852"/>
      <c r="D337" s="1852"/>
      <c r="E337" s="1852"/>
      <c r="F337" s="1857">
        <v>0.14299999999999999</v>
      </c>
    </row>
    <row r="338" spans="1:6" ht="14.25" thickBot="1">
      <c r="A338" s="1841" t="s">
        <v>2226</v>
      </c>
      <c r="B338" s="1842" t="s">
        <v>2227</v>
      </c>
      <c r="C338" s="1843">
        <v>0.15</v>
      </c>
      <c r="D338" s="1843">
        <v>0.15</v>
      </c>
      <c r="E338" s="1843">
        <v>0.15</v>
      </c>
      <c r="F338" s="1865"/>
    </row>
    <row r="339" spans="1:6" ht="14.25" thickBot="1">
      <c r="A339" s="1841" t="s">
        <v>2226</v>
      </c>
      <c r="B339" s="1845" t="s">
        <v>2228</v>
      </c>
      <c r="C339" s="1846">
        <v>0.15</v>
      </c>
      <c r="D339" s="1846">
        <v>0.15</v>
      </c>
      <c r="E339" s="1846">
        <v>0.15</v>
      </c>
      <c r="F339" s="1854"/>
    </row>
    <row r="340" spans="1:6" ht="14.25" thickBot="1">
      <c r="A340" s="1841" t="s">
        <v>2226</v>
      </c>
      <c r="B340" s="1845" t="s">
        <v>2229</v>
      </c>
      <c r="C340" s="1846">
        <v>0.15</v>
      </c>
      <c r="D340" s="1846">
        <v>0.15</v>
      </c>
      <c r="E340" s="1846">
        <v>0.15</v>
      </c>
      <c r="F340" s="1854"/>
    </row>
    <row r="341" spans="1:6" ht="14.25" thickBot="1">
      <c r="A341" s="1841" t="s">
        <v>2230</v>
      </c>
      <c r="B341" s="1845" t="s">
        <v>2231</v>
      </c>
      <c r="C341" s="1846">
        <v>0.15</v>
      </c>
      <c r="D341" s="1846">
        <v>0.15</v>
      </c>
      <c r="E341" s="1846">
        <v>0.15</v>
      </c>
      <c r="F341" s="1847">
        <v>0.15</v>
      </c>
    </row>
    <row r="342" spans="1:6" ht="14.25" thickBot="1">
      <c r="A342" s="1841" t="s">
        <v>2226</v>
      </c>
      <c r="B342" s="1845" t="s">
        <v>2232</v>
      </c>
      <c r="C342" s="1846">
        <v>0.15</v>
      </c>
      <c r="D342" s="1846">
        <v>0.15</v>
      </c>
      <c r="E342" s="1846">
        <v>0.15</v>
      </c>
      <c r="F342" s="1847">
        <v>0.15</v>
      </c>
    </row>
    <row r="343" spans="1:6" ht="14.25" thickBot="1">
      <c r="A343" s="1841" t="s">
        <v>2226</v>
      </c>
      <c r="B343" s="1845" t="s">
        <v>2233</v>
      </c>
      <c r="C343" s="1846">
        <v>0.15</v>
      </c>
      <c r="D343" s="1846">
        <v>0.15</v>
      </c>
      <c r="E343" s="1846">
        <v>0.15</v>
      </c>
      <c r="F343" s="1847">
        <v>0.15</v>
      </c>
    </row>
    <row r="344" spans="1:6" ht="14.25" thickBot="1">
      <c r="A344" s="1849" t="s">
        <v>2226</v>
      </c>
      <c r="B344" s="1856" t="s">
        <v>2234</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2"/>
  <sheetViews>
    <sheetView zoomScale="80" zoomScaleNormal="80" workbookViewId="0">
      <selection activeCell="L7" sqref="L7"/>
    </sheetView>
  </sheetViews>
  <sheetFormatPr defaultColWidth="9" defaultRowHeight="12.75"/>
  <cols>
    <col min="1" max="1" width="9" style="2627"/>
    <col min="2" max="6" width="9" style="2627" customWidth="1"/>
    <col min="7" max="7" width="9" style="2643" customWidth="1"/>
    <col min="8" max="12" width="9" style="2627" customWidth="1"/>
    <col min="13" max="13" width="2.1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41" t="s">
        <v>2571</v>
      </c>
      <c r="C1" s="3441"/>
      <c r="D1" s="3441"/>
      <c r="E1" s="3441"/>
      <c r="F1" s="3441"/>
      <c r="G1" s="3440" t="s">
        <v>2572</v>
      </c>
      <c r="H1" s="3440"/>
      <c r="I1" s="3440"/>
      <c r="J1" s="3440"/>
      <c r="K1" s="3440"/>
      <c r="L1" s="3440"/>
      <c r="N1" s="3440" t="s">
        <v>2573</v>
      </c>
      <c r="O1" s="3440"/>
      <c r="P1" s="3440"/>
      <c r="Q1" s="3440"/>
      <c r="R1" s="2619"/>
      <c r="S1" s="3440" t="s">
        <v>2574</v>
      </c>
      <c r="T1" s="3440"/>
      <c r="U1" s="3440"/>
      <c r="V1" s="3440"/>
      <c r="X1" s="3439" t="s">
        <v>2634</v>
      </c>
      <c r="Y1" s="3440"/>
      <c r="Z1" s="3440"/>
      <c r="AA1" s="3440"/>
      <c r="AB1" s="3440"/>
      <c r="AD1" s="3439" t="s">
        <v>2638</v>
      </c>
      <c r="AE1" s="3440"/>
      <c r="AF1" s="3440"/>
      <c r="AG1" s="3440"/>
      <c r="AH1" s="3440"/>
    </row>
    <row r="2" spans="1:34" s="2720" customFormat="1" ht="14.25" thickBot="1">
      <c r="B2" s="2728" t="s">
        <v>2575</v>
      </c>
      <c r="C2" s="2728" t="s">
        <v>2636</v>
      </c>
      <c r="D2" s="2721" t="s">
        <v>1644</v>
      </c>
      <c r="E2" s="2721" t="s">
        <v>1947</v>
      </c>
      <c r="F2" s="2728" t="s">
        <v>2637</v>
      </c>
      <c r="G2" s="2724"/>
      <c r="H2" s="2723"/>
      <c r="I2" s="2728" t="s">
        <v>2951</v>
      </c>
      <c r="J2" s="2721" t="s">
        <v>2953</v>
      </c>
      <c r="K2" s="2721" t="s">
        <v>2954</v>
      </c>
      <c r="L2" s="2728" t="s">
        <v>2955</v>
      </c>
      <c r="N2" s="2728" t="s">
        <v>2575</v>
      </c>
      <c r="O2" s="2721" t="s">
        <v>2952</v>
      </c>
      <c r="P2" s="2721" t="s">
        <v>1947</v>
      </c>
      <c r="Q2" s="2728" t="s">
        <v>2637</v>
      </c>
      <c r="R2" s="2722"/>
      <c r="S2" s="2728" t="s">
        <v>2575</v>
      </c>
      <c r="T2" s="2721" t="s">
        <v>2952</v>
      </c>
      <c r="U2" s="2721" t="s">
        <v>1947</v>
      </c>
      <c r="V2" s="2728" t="s">
        <v>2637</v>
      </c>
      <c r="X2" s="2728" t="s">
        <v>2575</v>
      </c>
      <c r="Y2" s="2728" t="s">
        <v>2636</v>
      </c>
      <c r="Z2" s="2721" t="s">
        <v>1644</v>
      </c>
      <c r="AA2" s="2721" t="s">
        <v>1947</v>
      </c>
      <c r="AB2" s="2728" t="s">
        <v>2637</v>
      </c>
      <c r="AD2" s="2728" t="s">
        <v>2575</v>
      </c>
      <c r="AE2" s="2728" t="s">
        <v>2636</v>
      </c>
      <c r="AF2" s="2721" t="s">
        <v>1644</v>
      </c>
      <c r="AG2" s="2721" t="s">
        <v>1947</v>
      </c>
      <c r="AH2" s="2728" t="s">
        <v>2637</v>
      </c>
    </row>
    <row r="3" spans="1:34" s="3084" customFormat="1" ht="14.25">
      <c r="A3" s="3096" t="s">
        <v>2964</v>
      </c>
      <c r="B3" s="3085"/>
      <c r="C3" s="3085"/>
      <c r="D3" s="3086"/>
      <c r="E3" s="3086"/>
      <c r="F3" s="3085"/>
      <c r="G3" s="3087"/>
      <c r="H3" s="3088"/>
      <c r="I3" s="3095">
        <f>ROUND(AVERAGE($I4:$I29),2)</f>
        <v>1.92</v>
      </c>
      <c r="J3" s="3095">
        <f>ROUND(AVERAGE($J4:$J29),2)</f>
        <v>1.34</v>
      </c>
      <c r="K3" s="3095">
        <f>ROUND(AVERAGE($K4:$K29),2)</f>
        <v>2.1</v>
      </c>
      <c r="L3" s="3095">
        <f>ROUND(AVERAGE($L4:$L29),2)</f>
        <v>1.35</v>
      </c>
      <c r="N3" s="3087"/>
      <c r="O3" s="3089"/>
      <c r="P3" s="3089"/>
      <c r="Q3" s="3089"/>
      <c r="R3" s="3089"/>
      <c r="S3" s="3087"/>
      <c r="T3" s="3089"/>
      <c r="U3" s="3089"/>
      <c r="V3" s="3089"/>
      <c r="W3" s="3092"/>
      <c r="X3" s="3090">
        <f>ROUND(SUMPRODUCT(PRODUCT(1+N3:N$28)),4)</f>
        <v>1.5586</v>
      </c>
      <c r="Y3" s="3090">
        <f>ROUND(SUMPRODUCT(PRODUCT(1+O3:O$28)),4)</f>
        <v>1.3633</v>
      </c>
      <c r="Z3" s="3090">
        <f t="shared" ref="Z3:Z26" si="0">Y3</f>
        <v>1.3633</v>
      </c>
      <c r="AA3" s="3090">
        <f>ROUND(SUMPRODUCT(PRODUCT(1+P3:P$28)),4)</f>
        <v>1.6221000000000001</v>
      </c>
      <c r="AB3" s="3090">
        <f>ROUND(SUMPRODUCT(PRODUCT(1+Q3:Q$28)),4)</f>
        <v>1.3777999999999999</v>
      </c>
      <c r="AD3" s="3091">
        <f>ROUND(AVERAGE(I3:I$29)/100,4)</f>
        <v>1.9199999999999998E-2</v>
      </c>
      <c r="AE3" s="3091">
        <f>ROUND(AVERAGE(J3:J$29)/100,4)</f>
        <v>1.34E-2</v>
      </c>
      <c r="AF3" s="3091">
        <f t="shared" ref="AF3:AF27" si="1">AE3</f>
        <v>1.34E-2</v>
      </c>
      <c r="AG3" s="3091">
        <f>ROUND(AVERAGE(K3:K$29)/100,4)</f>
        <v>2.1000000000000001E-2</v>
      </c>
      <c r="AH3" s="3091">
        <f>ROUND(AVERAGE(L3:L$29)/100,4)</f>
        <v>1.35E-2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c r="A5" s="3066" t="s">
        <v>2993</v>
      </c>
      <c r="B5" s="2752">
        <f t="shared" ref="B5" si="2">B6*(1+N5)</f>
        <v>479.34737379023579</v>
      </c>
      <c r="C5" s="2752">
        <f t="shared" ref="C5" si="3">C6*(1+O5)</f>
        <v>351.4265287986122</v>
      </c>
      <c r="D5" s="2752">
        <f t="shared" ref="D5" si="4">C5</f>
        <v>351.4265287986122</v>
      </c>
      <c r="E5" s="2752">
        <f t="shared" ref="E5" si="5">E6*(1+P5)</f>
        <v>685.98209703803116</v>
      </c>
      <c r="F5" s="2752">
        <f t="shared" ref="F5" si="6">F6*(1+Q5)</f>
        <v>316.78315206651001</v>
      </c>
      <c r="G5" s="2719">
        <v>2020</v>
      </c>
      <c r="H5" s="3067">
        <v>1</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2965</v>
      </c>
      <c r="X5" s="3071">
        <f>ROUND(IF(项目基本情况!B8="出让",SUMPRODUCT(PRODUCT(1+N5:N$29)),SUMPRODUCT(PRODUCT(1+N5:N$28))),4)</f>
        <v>1.5586</v>
      </c>
      <c r="Y5" s="3071">
        <f>ROUND(IF(项目基本情况!B8="出让",SUMPRODUCT(PRODUCT(1+O5:O$29)),SUMPRODUCT(PRODUCT(1+O5:O$28))),4)</f>
        <v>1.3633</v>
      </c>
      <c r="Z5" s="3071">
        <f t="shared" ref="Z5" si="11">Y5</f>
        <v>1.3633</v>
      </c>
      <c r="AA5" s="3071">
        <f>ROUND(IF(项目基本情况!B8="出让",SUMPRODUCT(PRODUCT(1+P5:P$29)),SUMPRODUCT(PRODUCT(1+P5:P$28))),4)</f>
        <v>1.6221000000000001</v>
      </c>
      <c r="AB5" s="3071">
        <f>ROUND(IF(项目基本情况!B8="出让",SUMPRODUCT(PRODUCT(1+Q5:Q$29)),SUMPRODUCT(PRODUCT(1+Q5:Q$28))),4)</f>
        <v>1.3777999999999999</v>
      </c>
      <c r="AD5" s="3072">
        <f>ROUND(AVERAGE(I5:I$29)/100,4)</f>
        <v>1.9199999999999998E-2</v>
      </c>
      <c r="AE5" s="3072">
        <f>ROUND(AVERAGE(J5:J$29)/100,4)</f>
        <v>1.34E-2</v>
      </c>
      <c r="AF5" s="3072">
        <f t="shared" ref="AF5" si="12">AE5</f>
        <v>1.34E-2</v>
      </c>
      <c r="AG5" s="3072">
        <f>ROUND(AVERAGE(K5:K$29)/100,4)</f>
        <v>2.1000000000000001E-2</v>
      </c>
      <c r="AH5" s="3072">
        <f>ROUND(AVERAGE(L5:L$29)/100,4)</f>
        <v>1.35E-2</v>
      </c>
    </row>
    <row r="6" spans="1:34" s="2725" customFormat="1">
      <c r="A6" s="2620" t="s">
        <v>2989</v>
      </c>
      <c r="B6" s="2633">
        <f t="shared" ref="B6" si="13">B7*(1+N6)</f>
        <v>479.34737379023579</v>
      </c>
      <c r="C6" s="2633">
        <f t="shared" ref="C6" si="14">C7*(1+O6)</f>
        <v>351.4265287986122</v>
      </c>
      <c r="D6" s="2633">
        <f t="shared" ref="D6" si="15">C6</f>
        <v>351.4265287986122</v>
      </c>
      <c r="E6" s="2633">
        <f t="shared" ref="E6" si="16">E7*(1+P6)</f>
        <v>685.98209703803116</v>
      </c>
      <c r="F6" s="2633">
        <f t="shared" ref="F6" si="17">F7*(1+Q6)</f>
        <v>316.78315206651001</v>
      </c>
      <c r="G6" s="2719">
        <v>2019</v>
      </c>
      <c r="H6" s="2623">
        <v>4</v>
      </c>
      <c r="I6" s="2623">
        <v>0.45</v>
      </c>
      <c r="J6" s="2623">
        <v>-0.12</v>
      </c>
      <c r="K6" s="2623">
        <v>0.54</v>
      </c>
      <c r="L6" s="2634">
        <v>0.48</v>
      </c>
      <c r="M6" s="2627"/>
      <c r="N6" s="2628">
        <f t="shared" ref="N6" si="18">I6/100</f>
        <v>4.5000000000000005E-3</v>
      </c>
      <c r="O6" s="2629">
        <f t="shared" ref="O6" si="19">J6/100</f>
        <v>-1.1999999999999999E-3</v>
      </c>
      <c r="P6" s="2629">
        <f t="shared" ref="P6" si="20">K6/100</f>
        <v>5.4000000000000003E-3</v>
      </c>
      <c r="Q6" s="2629">
        <f t="shared" ref="Q6" si="21">L6/100</f>
        <v>4.7999999999999996E-3</v>
      </c>
      <c r="R6" s="2630"/>
      <c r="S6" s="2636"/>
      <c r="T6" s="2637"/>
      <c r="U6" s="2637"/>
      <c r="V6" s="2637"/>
      <c r="W6" s="2627"/>
      <c r="X6" s="2718">
        <f>ROUND(IF(项目基本情况!B8="出让",SUMPRODUCT(PRODUCT(1+N6:N$29)),SUMPRODUCT(PRODUCT(1+N6:N$28))),4)</f>
        <v>1.5586</v>
      </c>
      <c r="Y6" s="2718">
        <f>ROUND(IF(项目基本情况!B8="出让",SUMPRODUCT(PRODUCT(1+O6:O$29)),SUMPRODUCT(PRODUCT(1+O6:O$28))),4)</f>
        <v>1.3633</v>
      </c>
      <c r="Z6" s="2718">
        <f t="shared" ref="Z6" si="22">Y6</f>
        <v>1.3633</v>
      </c>
      <c r="AA6" s="2718">
        <f>ROUND(IF(项目基本情况!B8="出让",SUMPRODUCT(PRODUCT(1+P6:P$29)),SUMPRODUCT(PRODUCT(1+P6:P$28))),4)</f>
        <v>1.6221000000000001</v>
      </c>
      <c r="AB6" s="2718">
        <f>ROUND(IF(项目基本情况!B8="出让",SUMPRODUCT(PRODUCT(1+Q6:Q$29)),SUMPRODUCT(PRODUCT(1+Q6:Q$28))),4)</f>
        <v>1.3777999999999999</v>
      </c>
      <c r="AC6" s="2627"/>
      <c r="AD6" s="2638">
        <f>ROUND(AVERAGE(I6:I$29)/100,4)</f>
        <v>0.02</v>
      </c>
      <c r="AE6" s="2638">
        <f>ROUND(AVERAGE(J6:J$29)/100,4)</f>
        <v>1.4E-2</v>
      </c>
      <c r="AF6" s="2638">
        <f t="shared" ref="AF6" si="23">AE6</f>
        <v>1.4E-2</v>
      </c>
      <c r="AG6" s="2638">
        <f>ROUND(AVERAGE(K6:K$29)/100,4)</f>
        <v>2.1899999999999999E-2</v>
      </c>
      <c r="AH6" s="2638">
        <f>ROUND(AVERAGE(L6:L$29)/100,4)</f>
        <v>1.4E-2</v>
      </c>
    </row>
    <row r="7" spans="1:34" s="2725" customFormat="1" ht="13.5" thickBot="1">
      <c r="A7" s="2620" t="s">
        <v>2988</v>
      </c>
      <c r="B7" s="2633">
        <f t="shared" ref="B7" si="24">B8*(1+N7)</f>
        <v>477.19997390765138</v>
      </c>
      <c r="C7" s="2633">
        <f t="shared" ref="C7" si="25">C8*(1+O7)</f>
        <v>351.84874729536665</v>
      </c>
      <c r="D7" s="2633">
        <f t="shared" ref="D7" si="26">C7</f>
        <v>351.84874729536665</v>
      </c>
      <c r="E7" s="2633">
        <f t="shared" ref="E7" si="27">E8*(1+P7)</f>
        <v>682.29768951465201</v>
      </c>
      <c r="F7" s="2633">
        <f t="shared" ref="F7" si="28">F8*(1+Q7)</f>
        <v>315.26985675409043</v>
      </c>
      <c r="G7" s="2719">
        <v>2019</v>
      </c>
      <c r="H7" s="2623">
        <v>3</v>
      </c>
      <c r="I7" s="2623">
        <v>0.61</v>
      </c>
      <c r="J7" s="2623">
        <v>0.67</v>
      </c>
      <c r="K7" s="2623">
        <v>0.6</v>
      </c>
      <c r="L7" s="2634">
        <v>1.03</v>
      </c>
      <c r="M7" s="2627"/>
      <c r="N7" s="2628">
        <f t="shared" ref="N7" si="29">I7/100</f>
        <v>6.0999999999999995E-3</v>
      </c>
      <c r="O7" s="2629">
        <f t="shared" ref="O7" si="30">J7/100</f>
        <v>6.7000000000000002E-3</v>
      </c>
      <c r="P7" s="2629">
        <f t="shared" ref="P7" si="31">K7/100</f>
        <v>6.0000000000000001E-3</v>
      </c>
      <c r="Q7" s="2629">
        <f t="shared" ref="Q7" si="32">L7/100</f>
        <v>1.03E-2</v>
      </c>
      <c r="R7" s="2630"/>
      <c r="S7" s="2636"/>
      <c r="T7" s="2637"/>
      <c r="U7" s="2637"/>
      <c r="V7" s="2637"/>
      <c r="W7" s="2627"/>
      <c r="X7" s="2718">
        <f>ROUND(IF(项目基本情况!B8="出让",SUMPRODUCT(PRODUCT(1+N7:N$29)),SUMPRODUCT(PRODUCT(1+N7:N$28))),4)</f>
        <v>1.5516000000000001</v>
      </c>
      <c r="Y7" s="2718">
        <f>ROUND(IF(项目基本情况!B8="出让",SUMPRODUCT(PRODUCT(1+O7:O$29)),SUMPRODUCT(PRODUCT(1+O7:O$28))),4)</f>
        <v>1.3649</v>
      </c>
      <c r="Z7" s="2718">
        <f t="shared" ref="Z7" si="33">Y7</f>
        <v>1.3649</v>
      </c>
      <c r="AA7" s="2718">
        <f>ROUND(IF(项目基本情况!B8="出让",SUMPRODUCT(PRODUCT(1+P7:P$29)),SUMPRODUCT(PRODUCT(1+P7:P$28))),4)</f>
        <v>1.6133999999999999</v>
      </c>
      <c r="AB7" s="2718">
        <f>ROUND(IF(项目基本情况!B8="出让",SUMPRODUCT(PRODUCT(1+Q7:Q$29)),SUMPRODUCT(PRODUCT(1+Q7:Q$28))),4)</f>
        <v>1.3713</v>
      </c>
      <c r="AC7" s="2627"/>
      <c r="AD7" s="2638">
        <f>ROUND(AVERAGE(I7:I$29)/100,4)</f>
        <v>2.07E-2</v>
      </c>
      <c r="AE7" s="2638">
        <f>ROUND(AVERAGE(J7:J$29)/100,4)</f>
        <v>1.47E-2</v>
      </c>
      <c r="AF7" s="2638">
        <f t="shared" ref="AF7" si="34">AE7</f>
        <v>1.47E-2</v>
      </c>
      <c r="AG7" s="2638">
        <f>ROUND(AVERAGE(K7:K$29)/100,4)</f>
        <v>2.2599999999999999E-2</v>
      </c>
      <c r="AH7" s="2638">
        <f>ROUND(AVERAGE(L7:L$29)/100,4)</f>
        <v>1.44E-2</v>
      </c>
    </row>
    <row r="8" spans="1:34" s="2725" customFormat="1">
      <c r="A8" s="2620" t="s">
        <v>2985</v>
      </c>
      <c r="B8" s="2633">
        <f t="shared" ref="B8:B13" si="35">B9*(1+N8)</f>
        <v>474.30670301923408</v>
      </c>
      <c r="C8" s="2633">
        <f t="shared" ref="C8" si="36">C9*(1+O8)</f>
        <v>349.50705005996491</v>
      </c>
      <c r="D8" s="2633">
        <f t="shared" ref="D8" si="37">C8</f>
        <v>349.50705005996491</v>
      </c>
      <c r="E8" s="2633">
        <f t="shared" ref="E8" si="38">E9*(1+P8)</f>
        <v>678.22831959706957</v>
      </c>
      <c r="F8" s="2633">
        <f t="shared" ref="F8" si="39">F9*(1+Q8)</f>
        <v>312.0556832169558</v>
      </c>
      <c r="G8" s="2719">
        <v>2019</v>
      </c>
      <c r="H8" s="2621">
        <v>2</v>
      </c>
      <c r="I8" s="2621">
        <v>1.53</v>
      </c>
      <c r="J8" s="2621">
        <v>1.01</v>
      </c>
      <c r="K8" s="2621">
        <v>1.62</v>
      </c>
      <c r="L8" s="2622">
        <v>1.25</v>
      </c>
      <c r="M8" s="2627"/>
      <c r="N8" s="2628">
        <f t="shared" ref="N8" si="40">I8/100</f>
        <v>1.5300000000000001E-2</v>
      </c>
      <c r="O8" s="2629">
        <f t="shared" ref="O8" si="41">J8/100</f>
        <v>1.01E-2</v>
      </c>
      <c r="P8" s="2629">
        <f t="shared" ref="P8" si="42">K8/100</f>
        <v>1.6200000000000003E-2</v>
      </c>
      <c r="Q8" s="2629">
        <f t="shared" ref="Q8" si="43">L8/100</f>
        <v>1.2500000000000001E-2</v>
      </c>
      <c r="R8" s="2630"/>
      <c r="S8" s="2636"/>
      <c r="T8" s="2637"/>
      <c r="U8" s="2637"/>
      <c r="V8" s="2637"/>
      <c r="W8" s="2627"/>
      <c r="X8" s="2718">
        <f>ROUND(IF(项目基本情况!B8="出让",SUMPRODUCT(PRODUCT(1+N8:N$29)),SUMPRODUCT(PRODUCT(1+N8:N$28))),4)</f>
        <v>1.5422</v>
      </c>
      <c r="Y8" s="2718">
        <f>ROUND(IF(项目基本情况!B8="出让",SUMPRODUCT(PRODUCT(1+O8:O$29)),SUMPRODUCT(PRODUCT(1+O8:O$28))),4)</f>
        <v>1.3557999999999999</v>
      </c>
      <c r="Z8" s="2718">
        <f t="shared" ref="Z8" si="44">Y8</f>
        <v>1.3557999999999999</v>
      </c>
      <c r="AA8" s="2718">
        <f>ROUND(IF(项目基本情况!B8="出让",SUMPRODUCT(PRODUCT(1+P8:P$29)),SUMPRODUCT(PRODUCT(1+P8:P$28))),4)</f>
        <v>1.6036999999999999</v>
      </c>
      <c r="AB8" s="2718">
        <f>ROUND(IF(项目基本情况!B8="出让",SUMPRODUCT(PRODUCT(1+Q8:Q$29)),SUMPRODUCT(PRODUCT(1+Q8:Q$28))),4)</f>
        <v>1.3573</v>
      </c>
      <c r="AC8" s="2627"/>
      <c r="AD8" s="2638">
        <f>ROUND(AVERAGE(I8:I$29)/100,4)</f>
        <v>2.1299999999999999E-2</v>
      </c>
      <c r="AE8" s="2638">
        <f>ROUND(AVERAGE(J8:J$29)/100,4)</f>
        <v>1.4999999999999999E-2</v>
      </c>
      <c r="AF8" s="2638">
        <f t="shared" ref="AF8" si="45">AE8</f>
        <v>1.4999999999999999E-2</v>
      </c>
      <c r="AG8" s="2638">
        <f>ROUND(AVERAGE(K8:K$29)/100,4)</f>
        <v>2.3300000000000001E-2</v>
      </c>
      <c r="AH8" s="2638">
        <f>ROUND(AVERAGE(L8:L$29)/100,4)</f>
        <v>1.46E-2</v>
      </c>
    </row>
    <row r="9" spans="1:34" s="2725" customFormat="1" ht="13.5" thickBot="1">
      <c r="A9" s="2620" t="s">
        <v>2984</v>
      </c>
      <c r="B9" s="2633">
        <f t="shared" si="35"/>
        <v>467.15916775261894</v>
      </c>
      <c r="C9" s="2633">
        <f t="shared" ref="C9" si="46">C10*(1+O9)</f>
        <v>346.01232557169084</v>
      </c>
      <c r="D9" s="2633">
        <f t="shared" ref="D9" si="47">C9</f>
        <v>346.01232557169084</v>
      </c>
      <c r="E9" s="2633">
        <f t="shared" ref="E9" si="48">E10*(1+P9)</f>
        <v>667.41617752122568</v>
      </c>
      <c r="F9" s="2633">
        <f t="shared" ref="F9" si="49">F10*(1+Q9)</f>
        <v>308.20314391798104</v>
      </c>
      <c r="G9" s="2719">
        <v>2019</v>
      </c>
      <c r="H9" s="2623">
        <v>1</v>
      </c>
      <c r="I9" s="2623">
        <v>0.6</v>
      </c>
      <c r="J9" s="2623">
        <v>0.37</v>
      </c>
      <c r="K9" s="2623">
        <v>0.63</v>
      </c>
      <c r="L9" s="2634">
        <v>1.1299999999999999</v>
      </c>
      <c r="M9" s="2627"/>
      <c r="N9" s="2628">
        <f t="shared" ref="N9" si="50">I9/100</f>
        <v>6.0000000000000001E-3</v>
      </c>
      <c r="O9" s="2629">
        <f t="shared" ref="O9" si="51">J9/100</f>
        <v>3.7000000000000002E-3</v>
      </c>
      <c r="P9" s="2629">
        <f t="shared" ref="P9" si="52">K9/100</f>
        <v>6.3E-3</v>
      </c>
      <c r="Q9" s="2629">
        <f t="shared" ref="Q9" si="53">L9/100</f>
        <v>1.1299999999999999E-2</v>
      </c>
      <c r="R9" s="2630"/>
      <c r="S9" s="2636">
        <f>B9/B10-1</f>
        <v>6.0000000000000053E-3</v>
      </c>
      <c r="T9" s="2637">
        <f>C9/C10-1</f>
        <v>3.7000000000000366E-3</v>
      </c>
      <c r="U9" s="2637">
        <f>E9/E10-1</f>
        <v>6.2999999999999723E-3</v>
      </c>
      <c r="V9" s="2637">
        <f>F9/F10-1</f>
        <v>1.1300000000000088E-2</v>
      </c>
      <c r="W9" s="2627"/>
      <c r="X9" s="2718">
        <f>ROUND(IF(项目基本情况!B8="出让",SUMPRODUCT(PRODUCT(1+N9:N$29)),SUMPRODUCT(PRODUCT(1+N9:N$28))),4)</f>
        <v>1.5189999999999999</v>
      </c>
      <c r="Y9" s="2718">
        <f>ROUND(IF(项目基本情况!B8="出让",SUMPRODUCT(PRODUCT(1+O9:O$29)),SUMPRODUCT(PRODUCT(1+O9:O$28))),4)</f>
        <v>1.3423</v>
      </c>
      <c r="Z9" s="2718">
        <f t="shared" ref="Z9" si="54">Y9</f>
        <v>1.3423</v>
      </c>
      <c r="AA9" s="2718">
        <f>ROUND(IF(项目基本情况!B8="出让",SUMPRODUCT(PRODUCT(1+P9:P$29)),SUMPRODUCT(PRODUCT(1+P9:P$28))),4)</f>
        <v>1.5782</v>
      </c>
      <c r="AB9" s="2718">
        <f>ROUND(IF(项目基本情况!B8="出让",SUMPRODUCT(PRODUCT(1+Q9:Q$29)),SUMPRODUCT(PRODUCT(1+Q9:Q$28))),4)</f>
        <v>1.3405</v>
      </c>
      <c r="AC9" s="2627"/>
      <c r="AD9" s="2638">
        <f>ROUND(AVERAGE(I9:I$29)/100,4)</f>
        <v>2.1600000000000001E-2</v>
      </c>
      <c r="AE9" s="2638">
        <f>ROUND(AVERAGE(J9:J$29)/100,4)</f>
        <v>1.5299999999999999E-2</v>
      </c>
      <c r="AF9" s="2638">
        <f t="shared" ref="AF9" si="55">AE9</f>
        <v>1.5299999999999999E-2</v>
      </c>
      <c r="AG9" s="2638">
        <f>ROUND(AVERAGE(K9:K$29)/100,4)</f>
        <v>2.3699999999999999E-2</v>
      </c>
      <c r="AH9" s="2638">
        <f>ROUND(AVERAGE(L9:L$29)/100,4)</f>
        <v>1.47E-2</v>
      </c>
    </row>
    <row r="10" spans="1:34" s="2725" customFormat="1">
      <c r="A10" s="2620" t="s">
        <v>2981</v>
      </c>
      <c r="B10" s="3180">
        <f t="shared" si="35"/>
        <v>464.37293017158942</v>
      </c>
      <c r="C10" s="3180">
        <f t="shared" ref="C10" si="56">C11*(1+O10)</f>
        <v>344.73679941385956</v>
      </c>
      <c r="D10" s="3180">
        <f t="shared" ref="D10" si="57">C10</f>
        <v>344.73679941385956</v>
      </c>
      <c r="E10" s="3180">
        <f t="shared" ref="E10" si="58">E11*(1+P10)</f>
        <v>663.2377795103107</v>
      </c>
      <c r="F10" s="3181">
        <f t="shared" ref="F10" si="59">F11*(1+Q10)</f>
        <v>304.75936311478398</v>
      </c>
      <c r="G10" s="3435">
        <v>2018</v>
      </c>
      <c r="H10" s="2621">
        <v>4</v>
      </c>
      <c r="I10" s="2621">
        <v>0.96</v>
      </c>
      <c r="J10" s="2621">
        <v>1.03</v>
      </c>
      <c r="K10" s="2621">
        <v>0.92</v>
      </c>
      <c r="L10" s="2622">
        <v>1.29</v>
      </c>
      <c r="M10" s="2627"/>
      <c r="N10" s="2628">
        <f t="shared" ref="N10" si="60">I10/100</f>
        <v>9.5999999999999992E-3</v>
      </c>
      <c r="O10" s="2629">
        <f t="shared" ref="O10" si="61">J10/100</f>
        <v>1.03E-2</v>
      </c>
      <c r="P10" s="2629">
        <f t="shared" ref="P10" si="62">K10/100</f>
        <v>9.1999999999999998E-3</v>
      </c>
      <c r="Q10" s="2629">
        <f t="shared" ref="Q10" si="63">L10/100</f>
        <v>1.29E-2</v>
      </c>
      <c r="R10" s="2630"/>
      <c r="S10" s="2631"/>
      <c r="T10" s="2632"/>
      <c r="U10" s="2632"/>
      <c r="V10" s="2632"/>
      <c r="W10" s="2627"/>
      <c r="X10" s="2718">
        <f>ROUND(SUMPRODUCT(PRODUCT(1+N10:N$28)),4)</f>
        <v>1.5099</v>
      </c>
      <c r="Y10" s="2718">
        <f>ROUND(SUMPRODUCT(PRODUCT(1+O10:O$28)),4)</f>
        <v>1.3372999999999999</v>
      </c>
      <c r="Z10" s="2718">
        <f t="shared" ref="Z10" si="64">Y10</f>
        <v>1.3372999999999999</v>
      </c>
      <c r="AA10" s="2718">
        <f>ROUND(SUMPRODUCT(PRODUCT(1+P10:P$28)),4)</f>
        <v>1.5683</v>
      </c>
      <c r="AB10" s="2718">
        <f>ROUND(SUMPRODUCT(PRODUCT(1+Q10:Q$28)),4)</f>
        <v>1.3255999999999999</v>
      </c>
      <c r="AC10" s="2627"/>
      <c r="AD10" s="2638">
        <f>ROUND(AVERAGE(I10:I$29)/100,4)</f>
        <v>2.24E-2</v>
      </c>
      <c r="AE10" s="2638">
        <f>ROUND(AVERAGE(J10:J$29)/100,4)</f>
        <v>1.5800000000000002E-2</v>
      </c>
      <c r="AF10" s="2638">
        <f t="shared" ref="AF10" si="65">AE10</f>
        <v>1.5800000000000002E-2</v>
      </c>
      <c r="AG10" s="2638">
        <f>ROUND(AVERAGE(K10:K$29)/100,4)</f>
        <v>2.4500000000000001E-2</v>
      </c>
      <c r="AH10" s="2638">
        <f>ROUND(AVERAGE(L10:L$29)/100,4)</f>
        <v>1.49E-2</v>
      </c>
    </row>
    <row r="11" spans="1:34" s="2725" customFormat="1" ht="14.45" customHeight="1">
      <c r="A11" s="2620" t="s">
        <v>2974</v>
      </c>
      <c r="B11" s="2633">
        <f t="shared" si="35"/>
        <v>459.95733971036987</v>
      </c>
      <c r="C11" s="2633">
        <f t="shared" ref="C11" si="66">C12*(1+O11)</f>
        <v>341.22221064422405</v>
      </c>
      <c r="D11" s="2633">
        <f t="shared" ref="D11" si="67">C11</f>
        <v>341.22221064422405</v>
      </c>
      <c r="E11" s="2633">
        <f t="shared" ref="E11" si="68">E12*(1+P11)</f>
        <v>657.19161663724799</v>
      </c>
      <c r="F11" s="2633">
        <f t="shared" ref="F11" si="69">F12*(1+Q11)</f>
        <v>300.87803644464805</v>
      </c>
      <c r="G11" s="3435"/>
      <c r="H11" s="2623">
        <v>3</v>
      </c>
      <c r="I11" s="2623">
        <v>1.51</v>
      </c>
      <c r="J11" s="2623">
        <v>1.41</v>
      </c>
      <c r="K11" s="2623">
        <v>1.52</v>
      </c>
      <c r="L11" s="2634">
        <v>1.74</v>
      </c>
      <c r="M11" s="2627"/>
      <c r="N11" s="2628">
        <f t="shared" ref="N11" si="70">I11/100</f>
        <v>1.5100000000000001E-2</v>
      </c>
      <c r="O11" s="2629">
        <f t="shared" ref="O11" si="71">J11/100</f>
        <v>1.41E-2</v>
      </c>
      <c r="P11" s="2629">
        <f t="shared" ref="P11" si="72">K11/100</f>
        <v>1.52E-2</v>
      </c>
      <c r="Q11" s="2629">
        <f t="shared" ref="Q11" si="73">L11/100</f>
        <v>1.7399999999999999E-2</v>
      </c>
      <c r="R11" s="2630"/>
      <c r="S11" s="2628"/>
      <c r="T11" s="2629"/>
      <c r="U11" s="2629"/>
      <c r="V11" s="2629"/>
      <c r="W11" s="2627"/>
      <c r="X11" s="2718">
        <f>ROUND(SUMPRODUCT(PRODUCT(1+N11:N$28)),4)</f>
        <v>1.4956</v>
      </c>
      <c r="Y11" s="2718">
        <f>ROUND(SUMPRODUCT(PRODUCT(1+O11:O$28)),4)</f>
        <v>1.3237000000000001</v>
      </c>
      <c r="Z11" s="2718">
        <f t="shared" ref="Z11" si="74">Y11</f>
        <v>1.3237000000000001</v>
      </c>
      <c r="AA11" s="2718">
        <f>ROUND(SUMPRODUCT(PRODUCT(1+P11:P$28)),4)</f>
        <v>1.554</v>
      </c>
      <c r="AB11" s="2718">
        <f>ROUND(SUMPRODUCT(PRODUCT(1+Q11:Q$28)),4)</f>
        <v>1.3087</v>
      </c>
      <c r="AC11" s="2627"/>
      <c r="AD11" s="2638">
        <f>ROUND(AVERAGE(I11:I$29)/100,4)</f>
        <v>2.3099999999999999E-2</v>
      </c>
      <c r="AE11" s="2638">
        <f>ROUND(AVERAGE(J11:J$29)/100,4)</f>
        <v>1.61E-2</v>
      </c>
      <c r="AF11" s="2638">
        <f t="shared" ref="AF11" si="75">AE11</f>
        <v>1.61E-2</v>
      </c>
      <c r="AG11" s="2638">
        <f>ROUND(AVERAGE(K11:K$29)/100,4)</f>
        <v>2.53E-2</v>
      </c>
      <c r="AH11" s="2638">
        <f>ROUND(AVERAGE(L11:L$29)/100,4)</f>
        <v>1.4999999999999999E-2</v>
      </c>
    </row>
    <row r="12" spans="1:34" s="2725" customFormat="1" ht="14.45" customHeight="1">
      <c r="A12" s="2620" t="s">
        <v>2975</v>
      </c>
      <c r="B12" s="2633">
        <f t="shared" si="35"/>
        <v>453.11529869999993</v>
      </c>
      <c r="C12" s="2633">
        <f t="shared" ref="C12" si="76">C13*(1+O12)</f>
        <v>336.47787264000004</v>
      </c>
      <c r="D12" s="2633">
        <f t="shared" ref="D12" si="77">C12</f>
        <v>336.47787264000004</v>
      </c>
      <c r="E12" s="2633">
        <f t="shared" ref="E12" si="78">E13*(1+P12)</f>
        <v>647.35186823999993</v>
      </c>
      <c r="F12" s="2633">
        <f t="shared" ref="F12" si="79">F13*(1+Q12)</f>
        <v>295.73229452000004</v>
      </c>
      <c r="G12" s="3435"/>
      <c r="H12" s="2624">
        <v>2</v>
      </c>
      <c r="I12" s="2624">
        <v>1.49</v>
      </c>
      <c r="J12" s="2624">
        <v>0.96</v>
      </c>
      <c r="K12" s="2624">
        <v>1.58</v>
      </c>
      <c r="L12" s="2635">
        <v>2.44</v>
      </c>
      <c r="M12" s="2627"/>
      <c r="N12" s="2628">
        <f t="shared" ref="N12" si="80">I12/100</f>
        <v>1.49E-2</v>
      </c>
      <c r="O12" s="2629">
        <f t="shared" ref="O12" si="81">J12/100</f>
        <v>9.5999999999999992E-3</v>
      </c>
      <c r="P12" s="2629">
        <f t="shared" ref="P12" si="82">K12/100</f>
        <v>1.5800000000000002E-2</v>
      </c>
      <c r="Q12" s="2629">
        <f t="shared" ref="Q12" si="83">L12/100</f>
        <v>2.4399999999999998E-2</v>
      </c>
      <c r="R12" s="2630"/>
      <c r="S12" s="2628"/>
      <c r="T12" s="2629"/>
      <c r="U12" s="2629"/>
      <c r="V12" s="2629"/>
      <c r="W12" s="2627"/>
      <c r="X12" s="2718">
        <f>ROUND(SUMPRODUCT(PRODUCT(1+N12:N$28)),4)</f>
        <v>1.4733000000000001</v>
      </c>
      <c r="Y12" s="2718">
        <f>ROUND(SUMPRODUCT(PRODUCT(1+O12:O$28)),4)</f>
        <v>1.3052999999999999</v>
      </c>
      <c r="Z12" s="2718">
        <f t="shared" ref="Z12" si="84">Y12</f>
        <v>1.3052999999999999</v>
      </c>
      <c r="AA12" s="2718">
        <f>ROUND(SUMPRODUCT(PRODUCT(1+P12:P$28)),4)</f>
        <v>1.5306999999999999</v>
      </c>
      <c r="AB12" s="2718">
        <f>ROUND(SUMPRODUCT(PRODUCT(1+Q12:Q$28)),4)</f>
        <v>1.2863</v>
      </c>
      <c r="AC12" s="2627"/>
      <c r="AD12" s="2638">
        <f>ROUND(AVERAGE(I12:I$29)/100,4)</f>
        <v>2.35E-2</v>
      </c>
      <c r="AE12" s="2638">
        <f>ROUND(AVERAGE(J12:J$29)/100,4)</f>
        <v>1.6199999999999999E-2</v>
      </c>
      <c r="AF12" s="2638">
        <f t="shared" ref="AF12" si="85">AE12</f>
        <v>1.6199999999999999E-2</v>
      </c>
      <c r="AG12" s="2638">
        <f>ROUND(AVERAGE(K12:K$29)/100,4)</f>
        <v>2.5899999999999999E-2</v>
      </c>
      <c r="AH12" s="2638">
        <f>ROUND(AVERAGE(L12:L$29)/100,4)</f>
        <v>1.49E-2</v>
      </c>
    </row>
    <row r="13" spans="1:34" s="2725" customFormat="1" ht="15" customHeight="1" thickBot="1">
      <c r="A13" s="2620" t="s">
        <v>2971</v>
      </c>
      <c r="B13" s="2633">
        <f t="shared" si="35"/>
        <v>446.46299999999997</v>
      </c>
      <c r="C13" s="2633">
        <f t="shared" ref="C13" si="86">C14*(1+O13)</f>
        <v>333.27840000000003</v>
      </c>
      <c r="D13" s="2633">
        <f t="shared" ref="D13:D18" si="87">C13</f>
        <v>333.27840000000003</v>
      </c>
      <c r="E13" s="2633">
        <f t="shared" ref="E13" si="88">E14*(1+P13)</f>
        <v>637.28279999999995</v>
      </c>
      <c r="F13" s="2633">
        <f t="shared" ref="F13" si="89">F14*(1+Q13)</f>
        <v>288.68830000000003</v>
      </c>
      <c r="G13" s="3436"/>
      <c r="H13" s="2623">
        <v>1</v>
      </c>
      <c r="I13" s="2623">
        <v>1.7</v>
      </c>
      <c r="J13" s="2623">
        <v>1.92</v>
      </c>
      <c r="K13" s="2623">
        <v>1.64</v>
      </c>
      <c r="L13" s="2634">
        <v>2.0099999999999998</v>
      </c>
      <c r="M13" s="2627"/>
      <c r="N13" s="2628">
        <f t="shared" ref="N13:N18" si="90">I13/100</f>
        <v>1.7000000000000001E-2</v>
      </c>
      <c r="O13" s="2629">
        <f t="shared" ref="O13" si="91">J13/100</f>
        <v>1.9199999999999998E-2</v>
      </c>
      <c r="P13" s="2629">
        <f t="shared" ref="P13" si="92">K13/100</f>
        <v>1.6399999999999998E-2</v>
      </c>
      <c r="Q13" s="2629">
        <f t="shared" ref="Q13" si="93">L13/100</f>
        <v>2.0099999999999996E-2</v>
      </c>
      <c r="R13" s="2630"/>
      <c r="S13" s="2636">
        <f>B13/B14-1</f>
        <v>1.6999999999999904E-2</v>
      </c>
      <c r="T13" s="2637">
        <f>C13/C14-1</f>
        <v>1.9200000000000106E-2</v>
      </c>
      <c r="U13" s="2637">
        <f>E13/E14-1</f>
        <v>1.639999999999997E-2</v>
      </c>
      <c r="V13" s="2637">
        <f>F13/F14-1</f>
        <v>2.0100000000000007E-2</v>
      </c>
      <c r="W13" s="2627"/>
      <c r="X13" s="2718">
        <f>ROUND(SUMPRODUCT(PRODUCT(1+N13:N$28)),4)</f>
        <v>1.4517</v>
      </c>
      <c r="Y13" s="2718">
        <f>ROUND(SUMPRODUCT(PRODUCT(1+O13:O$28)),4)</f>
        <v>1.2928999999999999</v>
      </c>
      <c r="Z13" s="2718">
        <f t="shared" ref="Z13" si="94">Y13</f>
        <v>1.2928999999999999</v>
      </c>
      <c r="AA13" s="2718">
        <f>ROUND(SUMPRODUCT(PRODUCT(1+P13:P$28)),4)</f>
        <v>1.5068999999999999</v>
      </c>
      <c r="AB13" s="2718">
        <f>ROUND(SUMPRODUCT(PRODUCT(1+Q13:Q$28)),4)</f>
        <v>1.2557</v>
      </c>
      <c r="AC13" s="2627"/>
      <c r="AD13" s="2638">
        <f>ROUND(AVERAGE(I13:I$29)/100,4)</f>
        <v>2.4E-2</v>
      </c>
      <c r="AE13" s="2638">
        <f>ROUND(AVERAGE(J13:J$29)/100,4)</f>
        <v>1.66E-2</v>
      </c>
      <c r="AF13" s="2638">
        <f t="shared" ref="AF13" si="95">AE13</f>
        <v>1.66E-2</v>
      </c>
      <c r="AG13" s="2638">
        <f>ROUND(AVERAGE(K13:K$29)/100,4)</f>
        <v>2.6499999999999999E-2</v>
      </c>
      <c r="AH13" s="2638">
        <f>ROUND(AVERAGE(L13:L$29)/100,4)</f>
        <v>1.43E-2</v>
      </c>
    </row>
    <row r="14" spans="1:34">
      <c r="A14" s="2620" t="s">
        <v>2962</v>
      </c>
      <c r="B14" s="3098">
        <v>439</v>
      </c>
      <c r="C14" s="3098">
        <v>327</v>
      </c>
      <c r="D14" s="3098">
        <f t="shared" si="87"/>
        <v>327</v>
      </c>
      <c r="E14" s="3098">
        <v>627</v>
      </c>
      <c r="F14" s="3099">
        <v>283</v>
      </c>
      <c r="G14" s="3434">
        <v>2017</v>
      </c>
      <c r="H14" s="2621">
        <v>4</v>
      </c>
      <c r="I14" s="2621">
        <v>1.71</v>
      </c>
      <c r="J14" s="2621">
        <v>1.78</v>
      </c>
      <c r="K14" s="2621">
        <v>1.71</v>
      </c>
      <c r="L14" s="2622">
        <v>1.43</v>
      </c>
      <c r="N14" s="2641">
        <f t="shared" si="90"/>
        <v>1.7100000000000001E-2</v>
      </c>
      <c r="O14" s="2642">
        <f t="shared" ref="O14" si="96">J14/100</f>
        <v>1.78E-2</v>
      </c>
      <c r="P14" s="2642">
        <f t="shared" ref="P14" si="97">K14/100</f>
        <v>1.7100000000000001E-2</v>
      </c>
      <c r="Q14" s="2642">
        <f t="shared" ref="Q14" si="98">L14/100</f>
        <v>1.43E-2</v>
      </c>
      <c r="R14" s="2630"/>
      <c r="S14" s="2631"/>
      <c r="T14" s="2632"/>
      <c r="U14" s="2632"/>
      <c r="V14" s="2632"/>
      <c r="X14" s="2718">
        <f>ROUND(SUMPRODUCT(PRODUCT(1+N14:N$28)),4)</f>
        <v>1.4274</v>
      </c>
      <c r="Y14" s="2718">
        <f>ROUND(SUMPRODUCT(PRODUCT(1+O14:O$28)),4)</f>
        <v>1.2685</v>
      </c>
      <c r="Z14" s="2718">
        <f t="shared" si="0"/>
        <v>1.2685</v>
      </c>
      <c r="AA14" s="2718">
        <f>ROUND(SUMPRODUCT(PRODUCT(1+P14:P$28)),4)</f>
        <v>1.4825999999999999</v>
      </c>
      <c r="AB14" s="2718">
        <f>ROUND(SUMPRODUCT(PRODUCT(1+Q14:Q$28)),4)</f>
        <v>1.2309000000000001</v>
      </c>
      <c r="AD14" s="2638">
        <f>ROUND(AVERAGE(I14:I$29)/100,4)</f>
        <v>2.4500000000000001E-2</v>
      </c>
      <c r="AE14" s="2638">
        <f>ROUND(AVERAGE(J14:J$29)/100,4)</f>
        <v>1.6500000000000001E-2</v>
      </c>
      <c r="AF14" s="2638">
        <f t="shared" si="1"/>
        <v>1.6500000000000001E-2</v>
      </c>
      <c r="AG14" s="2638">
        <f>ROUND(AVERAGE(K14:K$29)/100,4)</f>
        <v>2.7099999999999999E-2</v>
      </c>
      <c r="AH14" s="2638">
        <f>ROUND(AVERAGE(L14:L$29)/100,4)</f>
        <v>1.3899999999999999E-2</v>
      </c>
    </row>
    <row r="15" spans="1:34" s="2725" customFormat="1" ht="14.45" customHeight="1">
      <c r="A15" s="2620" t="s">
        <v>2966</v>
      </c>
      <c r="B15" s="2633">
        <f t="shared" ref="B15:C17" si="99">B16*(1+N15)</f>
        <v>431.80730811680002</v>
      </c>
      <c r="C15" s="2633">
        <f t="shared" si="99"/>
        <v>320.57880516480003</v>
      </c>
      <c r="D15" s="2633">
        <f t="shared" si="87"/>
        <v>320.57880516480003</v>
      </c>
      <c r="E15" s="2633">
        <f t="shared" ref="E15:F17" si="100">E16*(1+P15)</f>
        <v>615.96110553196797</v>
      </c>
      <c r="F15" s="2633">
        <f t="shared" si="100"/>
        <v>279.46777300108801</v>
      </c>
      <c r="G15" s="3435"/>
      <c r="H15" s="2623">
        <v>3</v>
      </c>
      <c r="I15" s="2623">
        <v>2.98</v>
      </c>
      <c r="J15" s="2623">
        <v>2.11</v>
      </c>
      <c r="K15" s="2623">
        <v>3.24</v>
      </c>
      <c r="L15" s="2634">
        <v>1.72</v>
      </c>
      <c r="M15" s="2627"/>
      <c r="N15" s="2628">
        <f t="shared" si="90"/>
        <v>2.98E-2</v>
      </c>
      <c r="O15" s="2646">
        <f t="shared" ref="O15:O16" si="101">J15/100</f>
        <v>2.1099999999999997E-2</v>
      </c>
      <c r="P15" s="2646">
        <f t="shared" ref="P15:P16" si="102">K15/100</f>
        <v>3.2400000000000005E-2</v>
      </c>
      <c r="Q15" s="2646">
        <f t="shared" ref="Q15:Q16" si="103">L15/100</f>
        <v>1.72E-2</v>
      </c>
      <c r="R15" s="2630"/>
      <c r="S15" s="2628"/>
      <c r="T15" s="2629"/>
      <c r="U15" s="2629"/>
      <c r="V15" s="2629"/>
      <c r="W15" s="2627"/>
      <c r="X15" s="2718">
        <f>ROUND(SUMPRODUCT(PRODUCT(1+N15:N$28)),4)</f>
        <v>1.4034</v>
      </c>
      <c r="Y15" s="2718">
        <f>ROUND(SUMPRODUCT(PRODUCT(1+O15:O$28)),4)</f>
        <v>1.2463</v>
      </c>
      <c r="Z15" s="2718">
        <f t="shared" si="0"/>
        <v>1.2463</v>
      </c>
      <c r="AA15" s="2718">
        <f>ROUND(SUMPRODUCT(PRODUCT(1+P15:P$28)),4)</f>
        <v>1.4577</v>
      </c>
      <c r="AB15" s="2718">
        <f>ROUND(SUMPRODUCT(PRODUCT(1+Q15:Q$28)),4)</f>
        <v>1.2136</v>
      </c>
      <c r="AC15" s="2627"/>
      <c r="AD15" s="2638">
        <f>ROUND(AVERAGE(I15:I$29)/100,4)</f>
        <v>2.4899999999999999E-2</v>
      </c>
      <c r="AE15" s="2638">
        <f>ROUND(AVERAGE(J15:J$29)/100,4)</f>
        <v>1.6400000000000001E-2</v>
      </c>
      <c r="AF15" s="2638">
        <f t="shared" si="1"/>
        <v>1.6400000000000001E-2</v>
      </c>
      <c r="AG15" s="2638">
        <f>ROUND(AVERAGE(K15:K$29)/100,4)</f>
        <v>2.7799999999999998E-2</v>
      </c>
      <c r="AH15" s="2638">
        <f>ROUND(AVERAGE(L15:L$29)/100,4)</f>
        <v>1.3899999999999999E-2</v>
      </c>
    </row>
    <row r="16" spans="1:34" s="2618" customFormat="1" ht="14.45" customHeight="1">
      <c r="A16" s="2620" t="s">
        <v>2576</v>
      </c>
      <c r="B16" s="2633">
        <f t="shared" si="99"/>
        <v>419.31181600000002</v>
      </c>
      <c r="C16" s="2633">
        <f t="shared" si="99"/>
        <v>313.95436800000004</v>
      </c>
      <c r="D16" s="2633">
        <f t="shared" si="87"/>
        <v>313.95436800000004</v>
      </c>
      <c r="E16" s="2633">
        <f t="shared" si="100"/>
        <v>596.63028431999999</v>
      </c>
      <c r="F16" s="2633">
        <f t="shared" si="100"/>
        <v>274.74220703999998</v>
      </c>
      <c r="G16" s="3435"/>
      <c r="H16" s="2624">
        <v>2</v>
      </c>
      <c r="I16" s="2624">
        <v>3.4</v>
      </c>
      <c r="J16" s="2624">
        <v>2</v>
      </c>
      <c r="K16" s="2624">
        <v>3.82</v>
      </c>
      <c r="L16" s="2635">
        <v>1.68</v>
      </c>
      <c r="N16" s="2628">
        <f t="shared" si="90"/>
        <v>3.4000000000000002E-2</v>
      </c>
      <c r="O16" s="2646">
        <f t="shared" si="101"/>
        <v>0.02</v>
      </c>
      <c r="P16" s="2646">
        <f t="shared" si="102"/>
        <v>3.8199999999999998E-2</v>
      </c>
      <c r="Q16" s="2646">
        <f t="shared" si="103"/>
        <v>1.6799999999999999E-2</v>
      </c>
      <c r="R16" s="2619"/>
      <c r="S16" s="2628"/>
      <c r="T16" s="2629"/>
      <c r="U16" s="2629"/>
      <c r="V16" s="2629"/>
      <c r="X16" s="2718">
        <f>ROUND(SUMPRODUCT(PRODUCT(1+N16:N$28)),4)</f>
        <v>1.3628</v>
      </c>
      <c r="Y16" s="2718">
        <f>ROUND(SUMPRODUCT(PRODUCT(1+O16:O$28)),4)</f>
        <v>1.2205999999999999</v>
      </c>
      <c r="Z16" s="2718">
        <f t="shared" si="0"/>
        <v>1.2205999999999999</v>
      </c>
      <c r="AA16" s="2718">
        <f>ROUND(SUMPRODUCT(PRODUCT(1+P16:P$28)),4)</f>
        <v>1.4118999999999999</v>
      </c>
      <c r="AB16" s="2718">
        <f>ROUND(SUMPRODUCT(PRODUCT(1+Q16:Q$28)),4)</f>
        <v>1.1930000000000001</v>
      </c>
      <c r="AD16" s="2638">
        <f>ROUND(AVERAGE(I16:I$29)/100,4)</f>
        <v>2.46E-2</v>
      </c>
      <c r="AE16" s="2638">
        <f>ROUND(AVERAGE(J16:J$29)/100,4)</f>
        <v>1.6E-2</v>
      </c>
      <c r="AF16" s="2638">
        <f t="shared" si="1"/>
        <v>1.6E-2</v>
      </c>
      <c r="AG16" s="2638">
        <f>ROUND(AVERAGE(K16:K$29)/100,4)</f>
        <v>2.75E-2</v>
      </c>
      <c r="AH16" s="2638">
        <f>ROUND(AVERAGE(L16:L$29)/100,4)</f>
        <v>1.37E-2</v>
      </c>
    </row>
    <row r="17" spans="1:34" s="2725" customFormat="1" ht="15" customHeight="1" thickBot="1">
      <c r="A17" s="2620" t="s">
        <v>2577</v>
      </c>
      <c r="B17" s="2633">
        <f t="shared" si="99"/>
        <v>405.524</v>
      </c>
      <c r="C17" s="2633">
        <f t="shared" si="99"/>
        <v>307.79840000000002</v>
      </c>
      <c r="D17" s="2633">
        <f t="shared" si="87"/>
        <v>307.79840000000002</v>
      </c>
      <c r="E17" s="2633">
        <f t="shared" si="100"/>
        <v>574.67759999999998</v>
      </c>
      <c r="F17" s="2633">
        <f t="shared" si="100"/>
        <v>270.20280000000002</v>
      </c>
      <c r="G17" s="3436"/>
      <c r="H17" s="2623">
        <v>1</v>
      </c>
      <c r="I17" s="2623">
        <v>3.45</v>
      </c>
      <c r="J17" s="2623">
        <v>1.92</v>
      </c>
      <c r="K17" s="2623">
        <v>3.92</v>
      </c>
      <c r="L17" s="2634">
        <v>1.58</v>
      </c>
      <c r="M17" s="2627"/>
      <c r="N17" s="2636">
        <f t="shared" si="90"/>
        <v>3.4500000000000003E-2</v>
      </c>
      <c r="O17" s="2637">
        <f t="shared" ref="O17" si="104">J17/100</f>
        <v>1.9199999999999998E-2</v>
      </c>
      <c r="P17" s="2637">
        <f t="shared" ref="P17" si="105">K17/100</f>
        <v>3.9199999999999999E-2</v>
      </c>
      <c r="Q17" s="2637">
        <f t="shared" ref="Q17" si="106">L17/100</f>
        <v>1.5800000000000002E-2</v>
      </c>
      <c r="R17" s="2630"/>
      <c r="S17" s="2636">
        <f>B17/B18-1</f>
        <v>3.4499999999999975E-2</v>
      </c>
      <c r="T17" s="2637">
        <f>C17/C18-1</f>
        <v>1.9200000000000106E-2</v>
      </c>
      <c r="U17" s="2637">
        <f>E17/E18-1</f>
        <v>3.9199999999999902E-2</v>
      </c>
      <c r="V17" s="2637">
        <f>F17/F18-1</f>
        <v>1.5800000000000036E-2</v>
      </c>
      <c r="W17" s="2627"/>
      <c r="X17" s="2718">
        <f>ROUND(SUMPRODUCT(PRODUCT(1+N17:N$28)),4)</f>
        <v>1.3180000000000001</v>
      </c>
      <c r="Y17" s="2718">
        <f>ROUND(SUMPRODUCT(PRODUCT(1+O17:O$28)),4)</f>
        <v>1.1966000000000001</v>
      </c>
      <c r="Z17" s="2718">
        <f t="shared" si="0"/>
        <v>1.1966000000000001</v>
      </c>
      <c r="AA17" s="2718">
        <f>ROUND(SUMPRODUCT(PRODUCT(1+P17:P$28)),4)</f>
        <v>1.36</v>
      </c>
      <c r="AB17" s="2718">
        <f>ROUND(SUMPRODUCT(PRODUCT(1+Q17:Q$28)),4)</f>
        <v>1.1733</v>
      </c>
      <c r="AC17" s="2627"/>
      <c r="AD17" s="2638">
        <f>ROUND(AVERAGE(I17:I$29)/100,4)</f>
        <v>2.3900000000000001E-2</v>
      </c>
      <c r="AE17" s="2638">
        <f>ROUND(AVERAGE(J17:J$29)/100,4)</f>
        <v>1.5699999999999999E-2</v>
      </c>
      <c r="AF17" s="2638">
        <f t="shared" si="1"/>
        <v>1.5699999999999999E-2</v>
      </c>
      <c r="AG17" s="2638">
        <f>ROUND(AVERAGE(K17:K$29)/100,4)</f>
        <v>2.6599999999999999E-2</v>
      </c>
      <c r="AH17" s="2638">
        <f>ROUND(AVERAGE(L17:L$29)/100,4)</f>
        <v>1.34E-2</v>
      </c>
    </row>
    <row r="18" spans="1:34">
      <c r="A18" s="2620" t="s">
        <v>970</v>
      </c>
      <c r="B18" s="2625">
        <v>392</v>
      </c>
      <c r="C18" s="2625">
        <v>302</v>
      </c>
      <c r="D18" s="2625">
        <f t="shared" si="87"/>
        <v>302</v>
      </c>
      <c r="E18" s="2625">
        <v>553</v>
      </c>
      <c r="F18" s="2626">
        <v>266</v>
      </c>
      <c r="G18" s="3434">
        <v>2016</v>
      </c>
      <c r="H18" s="2621">
        <v>4</v>
      </c>
      <c r="I18" s="2621">
        <v>4.5599999999999996</v>
      </c>
      <c r="J18" s="2621">
        <v>2.15</v>
      </c>
      <c r="K18" s="2621">
        <v>5.32</v>
      </c>
      <c r="L18" s="2622">
        <v>1.57</v>
      </c>
      <c r="N18" s="2628">
        <f t="shared" si="90"/>
        <v>4.5599999999999995E-2</v>
      </c>
      <c r="O18" s="2629">
        <f t="shared" ref="O18:Q33" si="107">J18/100</f>
        <v>2.1499999999999998E-2</v>
      </c>
      <c r="P18" s="2629">
        <f t="shared" si="107"/>
        <v>5.3200000000000004E-2</v>
      </c>
      <c r="Q18" s="2629">
        <f t="shared" si="107"/>
        <v>1.5700000000000002E-2</v>
      </c>
      <c r="R18" s="2630"/>
      <c r="S18" s="2631"/>
      <c r="T18" s="2632"/>
      <c r="U18" s="2632"/>
      <c r="V18" s="2632"/>
      <c r="X18" s="2718">
        <f>ROUND(SUMPRODUCT(PRODUCT(1+N18:N$28)),4)</f>
        <v>1.274</v>
      </c>
      <c r="Y18" s="2718">
        <f>ROUND(SUMPRODUCT(PRODUCT(1+O18:O$28)),4)</f>
        <v>1.1740999999999999</v>
      </c>
      <c r="Z18" s="2718">
        <f t="shared" si="0"/>
        <v>1.1740999999999999</v>
      </c>
      <c r="AA18" s="2718">
        <f>ROUND(SUMPRODUCT(PRODUCT(1+P18:P$28)),4)</f>
        <v>1.3087</v>
      </c>
      <c r="AB18" s="2718">
        <f>ROUND(SUMPRODUCT(PRODUCT(1+Q18:Q$28)),4)</f>
        <v>1.1551</v>
      </c>
      <c r="AD18" s="2638">
        <f>ROUND(AVERAGE(I18:I$29)/100,4)</f>
        <v>2.3E-2</v>
      </c>
      <c r="AE18" s="2638">
        <f>ROUND(AVERAGE(J18:J$29)/100,4)</f>
        <v>1.55E-2</v>
      </c>
      <c r="AF18" s="2638">
        <f t="shared" si="1"/>
        <v>1.55E-2</v>
      </c>
      <c r="AG18" s="2638">
        <f>ROUND(AVERAGE(K18:K$29)/100,4)</f>
        <v>2.5600000000000001E-2</v>
      </c>
      <c r="AH18" s="2638">
        <f>ROUND(AVERAGE(L18:L$29)/100,4)</f>
        <v>1.32E-2</v>
      </c>
    </row>
    <row r="19" spans="1:34">
      <c r="A19" s="2620" t="s">
        <v>969</v>
      </c>
      <c r="B19" s="2633">
        <f t="shared" ref="B19:C21" si="108">B18/(1+N18)</f>
        <v>374.90436113236416</v>
      </c>
      <c r="C19" s="2633">
        <f t="shared" si="108"/>
        <v>295.64366128242779</v>
      </c>
      <c r="D19" s="2633">
        <f t="shared" ref="D19:D78" si="109">C19</f>
        <v>295.64366128242779</v>
      </c>
      <c r="E19" s="2633">
        <f t="shared" ref="E19:F21" si="110">E18/(1+P18)</f>
        <v>525.06646410938095</v>
      </c>
      <c r="F19" s="2633">
        <f t="shared" si="110"/>
        <v>261.88835286009646</v>
      </c>
      <c r="G19" s="3435"/>
      <c r="H19" s="2623">
        <v>3</v>
      </c>
      <c r="I19" s="2623">
        <v>4.12</v>
      </c>
      <c r="J19" s="2623">
        <v>2</v>
      </c>
      <c r="K19" s="2623">
        <v>4.79</v>
      </c>
      <c r="L19" s="2634">
        <v>1.97</v>
      </c>
      <c r="N19" s="2628">
        <f t="shared" ref="N19:Q53" si="111">I19/100</f>
        <v>4.1200000000000001E-2</v>
      </c>
      <c r="O19" s="2629">
        <f t="shared" si="107"/>
        <v>0.02</v>
      </c>
      <c r="P19" s="2629">
        <f t="shared" si="107"/>
        <v>4.7899999999999998E-2</v>
      </c>
      <c r="Q19" s="2629">
        <f t="shared" si="107"/>
        <v>1.9699999999999999E-2</v>
      </c>
      <c r="R19" s="2630"/>
      <c r="S19" s="2628"/>
      <c r="T19" s="2629"/>
      <c r="U19" s="2629"/>
      <c r="V19" s="2629"/>
      <c r="X19" s="2718">
        <f>ROUND(SUMPRODUCT(PRODUCT(1+N19:N$28)),4)</f>
        <v>1.2184999999999999</v>
      </c>
      <c r="Y19" s="2718">
        <f>ROUND(SUMPRODUCT(PRODUCT(1+O19:O$28)),4)</f>
        <v>1.1494</v>
      </c>
      <c r="Z19" s="2718">
        <f t="shared" si="0"/>
        <v>1.1494</v>
      </c>
      <c r="AA19" s="2718">
        <f>ROUND(SUMPRODUCT(PRODUCT(1+P19:P$28)),4)</f>
        <v>1.2425999999999999</v>
      </c>
      <c r="AB19" s="2718">
        <f>ROUND(SUMPRODUCT(PRODUCT(1+Q19:Q$28)),4)</f>
        <v>1.1372</v>
      </c>
      <c r="AD19" s="2638">
        <f>ROUND(AVERAGE(I19:I$29)/100,4)</f>
        <v>2.0899999999999998E-2</v>
      </c>
      <c r="AE19" s="2638">
        <f>ROUND(AVERAGE(J19:J$29)/100,4)</f>
        <v>1.49E-2</v>
      </c>
      <c r="AF19" s="2638">
        <f t="shared" si="1"/>
        <v>1.49E-2</v>
      </c>
      <c r="AG19" s="2638">
        <f>ROUND(AVERAGE(K19:K$29)/100,4)</f>
        <v>2.3099999999999999E-2</v>
      </c>
      <c r="AH19" s="2638">
        <f>ROUND(AVERAGE(L19:L$29)/100,4)</f>
        <v>1.2999999999999999E-2</v>
      </c>
    </row>
    <row r="20" spans="1:34">
      <c r="A20" s="2620" t="s">
        <v>959</v>
      </c>
      <c r="B20" s="2633">
        <f t="shared" si="108"/>
        <v>360.06949782209392</v>
      </c>
      <c r="C20" s="2633">
        <f t="shared" si="108"/>
        <v>289.84672674747821</v>
      </c>
      <c r="D20" s="2633">
        <f t="shared" si="109"/>
        <v>289.84672674747821</v>
      </c>
      <c r="E20" s="2633">
        <f t="shared" si="110"/>
        <v>501.06543001181495</v>
      </c>
      <c r="F20" s="2633">
        <f t="shared" si="110"/>
        <v>256.82882500744967</v>
      </c>
      <c r="G20" s="3435"/>
      <c r="H20" s="2624">
        <v>2</v>
      </c>
      <c r="I20" s="2624">
        <v>3.85</v>
      </c>
      <c r="J20" s="2624">
        <v>1.95</v>
      </c>
      <c r="K20" s="2624">
        <v>4.4800000000000004</v>
      </c>
      <c r="L20" s="2635">
        <v>1.41</v>
      </c>
      <c r="N20" s="2628">
        <f t="shared" si="111"/>
        <v>3.85E-2</v>
      </c>
      <c r="O20" s="2629">
        <f t="shared" si="107"/>
        <v>1.95E-2</v>
      </c>
      <c r="P20" s="2629">
        <f t="shared" si="107"/>
        <v>4.4800000000000006E-2</v>
      </c>
      <c r="Q20" s="2629">
        <f t="shared" si="107"/>
        <v>1.41E-2</v>
      </c>
      <c r="R20" s="2630"/>
      <c r="S20" s="2628"/>
      <c r="T20" s="2629"/>
      <c r="U20" s="2629"/>
      <c r="V20" s="2629"/>
      <c r="X20" s="2718">
        <f>ROUND(SUMPRODUCT(PRODUCT(1+N20:N$28)),4)</f>
        <v>1.1702999999999999</v>
      </c>
      <c r="Y20" s="2718">
        <f>ROUND(SUMPRODUCT(PRODUCT(1+O20:O$28)),4)</f>
        <v>1.1269</v>
      </c>
      <c r="Z20" s="2718">
        <f t="shared" si="0"/>
        <v>1.1269</v>
      </c>
      <c r="AA20" s="2718">
        <f>ROUND(SUMPRODUCT(PRODUCT(1+P20:P$28)),4)</f>
        <v>1.1858</v>
      </c>
      <c r="AB20" s="2718">
        <f>ROUND(SUMPRODUCT(PRODUCT(1+Q20:Q$28)),4)</f>
        <v>1.1152</v>
      </c>
      <c r="AD20" s="2638">
        <f>ROUND(AVERAGE(I20:I$29)/100,4)</f>
        <v>1.89E-2</v>
      </c>
      <c r="AE20" s="2638">
        <f>ROUND(AVERAGE(J20:J$29)/100,4)</f>
        <v>1.44E-2</v>
      </c>
      <c r="AF20" s="2638">
        <f t="shared" si="1"/>
        <v>1.44E-2</v>
      </c>
      <c r="AG20" s="2638">
        <f>ROUND(AVERAGE(K20:K$29)/100,4)</f>
        <v>2.06E-2</v>
      </c>
      <c r="AH20" s="2638">
        <f>ROUND(AVERAGE(L20:L$29)/100,4)</f>
        <v>1.23E-2</v>
      </c>
    </row>
    <row r="21" spans="1:34" ht="13.5" thickBot="1">
      <c r="A21" s="2620" t="s">
        <v>968</v>
      </c>
      <c r="B21" s="2633">
        <f t="shared" si="108"/>
        <v>346.720748986128</v>
      </c>
      <c r="C21" s="2633">
        <f t="shared" si="108"/>
        <v>284.30282172386285</v>
      </c>
      <c r="D21" s="2633">
        <f t="shared" si="109"/>
        <v>284.30282172386285</v>
      </c>
      <c r="E21" s="2633">
        <f t="shared" si="110"/>
        <v>479.58023546306947</v>
      </c>
      <c r="F21" s="2633">
        <f t="shared" si="110"/>
        <v>253.25788877571213</v>
      </c>
      <c r="G21" s="3438"/>
      <c r="H21" s="2623">
        <v>1</v>
      </c>
      <c r="I21" s="2623">
        <v>4.09</v>
      </c>
      <c r="J21" s="2623">
        <v>2.93</v>
      </c>
      <c r="K21" s="2623">
        <v>4.54</v>
      </c>
      <c r="L21" s="2634">
        <v>1.48</v>
      </c>
      <c r="N21" s="2628">
        <f t="shared" si="111"/>
        <v>4.0899999999999999E-2</v>
      </c>
      <c r="O21" s="2629">
        <f t="shared" si="107"/>
        <v>2.9300000000000003E-2</v>
      </c>
      <c r="P21" s="2629">
        <f t="shared" si="107"/>
        <v>4.5400000000000003E-2</v>
      </c>
      <c r="Q21" s="2629">
        <f t="shared" si="107"/>
        <v>1.4800000000000001E-2</v>
      </c>
      <c r="R21" s="2630"/>
      <c r="S21" s="2636">
        <f>B21/B22-1</f>
        <v>4.1203450408792808E-2</v>
      </c>
      <c r="T21" s="2637">
        <f>C21/C22-1</f>
        <v>2.6363977342465095E-2</v>
      </c>
      <c r="U21" s="2637">
        <f>E21/E22-1</f>
        <v>4.4837114298626357E-2</v>
      </c>
      <c r="V21" s="2637">
        <f>F21/F22-1</f>
        <v>1.7099954922538574E-2</v>
      </c>
      <c r="X21" s="2718">
        <f>ROUND(SUMPRODUCT(PRODUCT(1+N21:N$28)),4)</f>
        <v>1.1269</v>
      </c>
      <c r="Y21" s="2718">
        <f>ROUND(SUMPRODUCT(PRODUCT(1+O21:O$28)),4)</f>
        <v>1.1052999999999999</v>
      </c>
      <c r="Z21" s="2718">
        <f t="shared" si="0"/>
        <v>1.1052999999999999</v>
      </c>
      <c r="AA21" s="2718">
        <f>ROUND(SUMPRODUCT(PRODUCT(1+P21:P$28)),4)</f>
        <v>1.1349</v>
      </c>
      <c r="AB21" s="2718">
        <f>ROUND(SUMPRODUCT(PRODUCT(1+Q21:Q$28)),4)</f>
        <v>1.0996999999999999</v>
      </c>
      <c r="AD21" s="2638">
        <f>ROUND(AVERAGE(I21:I$29)/100,4)</f>
        <v>1.67E-2</v>
      </c>
      <c r="AE21" s="2638">
        <f>ROUND(AVERAGE(J21:J$29)/100,4)</f>
        <v>1.38E-2</v>
      </c>
      <c r="AF21" s="2638">
        <f t="shared" si="1"/>
        <v>1.38E-2</v>
      </c>
      <c r="AG21" s="2638">
        <f>ROUND(AVERAGE(K21:K$29)/100,4)</f>
        <v>1.7899999999999999E-2</v>
      </c>
      <c r="AH21" s="2638">
        <f>ROUND(AVERAGE(L21:L$29)/100,4)</f>
        <v>1.21E-2</v>
      </c>
    </row>
    <row r="22" spans="1:34" ht="13.5" thickBot="1">
      <c r="A22" s="2620" t="s">
        <v>967</v>
      </c>
      <c r="B22" s="2625">
        <v>333</v>
      </c>
      <c r="C22" s="2625">
        <v>277</v>
      </c>
      <c r="D22" s="2625">
        <f t="shared" si="109"/>
        <v>277</v>
      </c>
      <c r="E22" s="2625">
        <v>459</v>
      </c>
      <c r="F22" s="2626">
        <v>249</v>
      </c>
      <c r="G22" s="3437">
        <v>2015</v>
      </c>
      <c r="H22" s="2639">
        <v>4</v>
      </c>
      <c r="I22" s="2639">
        <v>1.63</v>
      </c>
      <c r="J22" s="2639">
        <v>1.1100000000000001</v>
      </c>
      <c r="K22" s="2639">
        <v>1.77</v>
      </c>
      <c r="L22" s="2640">
        <v>1.89</v>
      </c>
      <c r="N22" s="2641">
        <f t="shared" si="111"/>
        <v>1.6299999999999999E-2</v>
      </c>
      <c r="O22" s="2642">
        <f t="shared" si="107"/>
        <v>1.11E-2</v>
      </c>
      <c r="P22" s="2642">
        <f t="shared" si="107"/>
        <v>1.77E-2</v>
      </c>
      <c r="Q22" s="2642">
        <f t="shared" si="107"/>
        <v>1.89E-2</v>
      </c>
      <c r="R22" s="2630"/>
      <c r="X22" s="2718">
        <f>ROUND(SUMPRODUCT(PRODUCT(1+N22:N$28)),4)</f>
        <v>1.0826</v>
      </c>
      <c r="Y22" s="2718">
        <f>ROUND(SUMPRODUCT(PRODUCT(1+O22:O$28)),4)</f>
        <v>1.0738000000000001</v>
      </c>
      <c r="Z22" s="2718">
        <f t="shared" si="0"/>
        <v>1.0738000000000001</v>
      </c>
      <c r="AA22" s="2718">
        <f>ROUND(SUMPRODUCT(PRODUCT(1+P22:P$28)),4)</f>
        <v>1.0855999999999999</v>
      </c>
      <c r="AB22" s="2718">
        <f>ROUND(SUMPRODUCT(PRODUCT(1+Q22:Q$28)),4)</f>
        <v>1.0837000000000001</v>
      </c>
      <c r="AD22" s="2638">
        <f>ROUND(AVERAGE(I22:I$29)/100,4)</f>
        <v>1.37E-2</v>
      </c>
      <c r="AE22" s="2638">
        <f>ROUND(AVERAGE(J22:J$29)/100,4)</f>
        <v>1.1900000000000001E-2</v>
      </c>
      <c r="AF22" s="2638">
        <f t="shared" si="1"/>
        <v>1.1900000000000001E-2</v>
      </c>
      <c r="AG22" s="2638">
        <f>ROUND(AVERAGE(K22:K$29)/100,4)</f>
        <v>1.4500000000000001E-2</v>
      </c>
      <c r="AH22" s="2638">
        <f>ROUND(AVERAGE(L22:L$29)/100,4)</f>
        <v>1.18E-2</v>
      </c>
    </row>
    <row r="23" spans="1:34">
      <c r="A23" s="2620" t="s">
        <v>966</v>
      </c>
      <c r="B23" s="2633">
        <f t="shared" ref="B23:C25" si="112">B22/(1+N22)</f>
        <v>327.65915576109415</v>
      </c>
      <c r="C23" s="2633">
        <f t="shared" si="112"/>
        <v>273.95905449510434</v>
      </c>
      <c r="D23" s="2633">
        <f t="shared" si="109"/>
        <v>273.95905449510434</v>
      </c>
      <c r="E23" s="2633">
        <f t="shared" ref="E23:F25" si="113">E22/(1+P22)</f>
        <v>451.01699911565294</v>
      </c>
      <c r="F23" s="2633">
        <f t="shared" si="113"/>
        <v>244.38119540681129</v>
      </c>
      <c r="G23" s="3435"/>
      <c r="H23" s="2644">
        <v>3</v>
      </c>
      <c r="I23" s="2644">
        <v>1.65</v>
      </c>
      <c r="J23" s="2644">
        <v>0.92</v>
      </c>
      <c r="K23" s="2644">
        <v>1.88</v>
      </c>
      <c r="L23" s="2645">
        <v>1.26</v>
      </c>
      <c r="N23" s="2628">
        <f t="shared" si="111"/>
        <v>1.6500000000000001E-2</v>
      </c>
      <c r="O23" s="2646">
        <f t="shared" si="107"/>
        <v>9.1999999999999998E-3</v>
      </c>
      <c r="P23" s="2646">
        <f t="shared" si="107"/>
        <v>1.8799999999999997E-2</v>
      </c>
      <c r="Q23" s="2646">
        <f t="shared" si="107"/>
        <v>1.26E-2</v>
      </c>
      <c r="R23" s="2630"/>
      <c r="S23" s="2628"/>
      <c r="T23" s="2629"/>
      <c r="U23" s="2629"/>
      <c r="V23" s="2629"/>
      <c r="X23" s="2718">
        <f>ROUND(SUMPRODUCT(PRODUCT(1+N23:N$28)),4)</f>
        <v>1.0651999999999999</v>
      </c>
      <c r="Y23" s="2718">
        <f>ROUND(SUMPRODUCT(PRODUCT(1+O23:O$28)),4)</f>
        <v>1.0621</v>
      </c>
      <c r="Z23" s="2718">
        <f t="shared" si="0"/>
        <v>1.0621</v>
      </c>
      <c r="AA23" s="2718">
        <f>ROUND(SUMPRODUCT(PRODUCT(1+P23:P$28)),4)</f>
        <v>1.0668</v>
      </c>
      <c r="AB23" s="2718">
        <f>ROUND(SUMPRODUCT(PRODUCT(1+Q23:Q$28)),4)</f>
        <v>1.0636000000000001</v>
      </c>
      <c r="AD23" s="2638">
        <f>ROUND(AVERAGE(I23:I$29)/100,4)</f>
        <v>1.3299999999999999E-2</v>
      </c>
      <c r="AE23" s="2638">
        <f>ROUND(AVERAGE(J23:J$29)/100,4)</f>
        <v>1.2E-2</v>
      </c>
      <c r="AF23" s="2638">
        <f t="shared" si="1"/>
        <v>1.2E-2</v>
      </c>
      <c r="AG23" s="2638">
        <f>ROUND(AVERAGE(K23:K$29)/100,4)</f>
        <v>1.4E-2</v>
      </c>
      <c r="AH23" s="2638">
        <f>ROUND(AVERAGE(L23:L$29)/100,4)</f>
        <v>1.0800000000000001E-2</v>
      </c>
    </row>
    <row r="24" spans="1:34">
      <c r="A24" s="2620" t="s">
        <v>965</v>
      </c>
      <c r="B24" s="2633">
        <f t="shared" si="112"/>
        <v>322.34053690220776</v>
      </c>
      <c r="C24" s="2633">
        <f t="shared" si="112"/>
        <v>271.46160770422546</v>
      </c>
      <c r="D24" s="2633">
        <f t="shared" si="109"/>
        <v>271.46160770422546</v>
      </c>
      <c r="E24" s="2633">
        <f t="shared" si="113"/>
        <v>442.69434542172456</v>
      </c>
      <c r="F24" s="2633">
        <f t="shared" si="113"/>
        <v>241.34030753190925</v>
      </c>
      <c r="G24" s="3435"/>
      <c r="H24" s="2624">
        <v>2</v>
      </c>
      <c r="I24" s="2624">
        <v>0.77</v>
      </c>
      <c r="J24" s="2624">
        <v>0.69</v>
      </c>
      <c r="K24" s="2624">
        <v>0.8</v>
      </c>
      <c r="L24" s="2635">
        <v>0.88</v>
      </c>
      <c r="N24" s="2628">
        <f t="shared" si="111"/>
        <v>7.7000000000000002E-3</v>
      </c>
      <c r="O24" s="2646">
        <f t="shared" si="107"/>
        <v>6.8999999999999999E-3</v>
      </c>
      <c r="P24" s="2646">
        <f t="shared" si="107"/>
        <v>8.0000000000000002E-3</v>
      </c>
      <c r="Q24" s="2646">
        <f t="shared" si="107"/>
        <v>8.8000000000000005E-3</v>
      </c>
      <c r="R24" s="2630"/>
      <c r="S24" s="2628"/>
      <c r="T24" s="2629"/>
      <c r="U24" s="2629"/>
      <c r="V24" s="2629"/>
      <c r="X24" s="2718">
        <f>ROUND(SUMPRODUCT(PRODUCT(1+N24:N$28)),4)</f>
        <v>1.048</v>
      </c>
      <c r="Y24" s="2718">
        <f>ROUND(SUMPRODUCT(PRODUCT(1+O24:O$28)),4)</f>
        <v>1.0524</v>
      </c>
      <c r="Z24" s="2718">
        <f t="shared" si="0"/>
        <v>1.0524</v>
      </c>
      <c r="AA24" s="2718">
        <f>ROUND(SUMPRODUCT(PRODUCT(1+P24:P$28)),4)</f>
        <v>1.0470999999999999</v>
      </c>
      <c r="AB24" s="2718">
        <f>ROUND(SUMPRODUCT(PRODUCT(1+Q24:Q$28)),4)</f>
        <v>1.0504</v>
      </c>
      <c r="AD24" s="2638">
        <f>ROUND(AVERAGE(I24:I$29)/100,4)</f>
        <v>1.2800000000000001E-2</v>
      </c>
      <c r="AE24" s="2638">
        <f>ROUND(AVERAGE(J24:J$29)/100,4)</f>
        <v>1.2500000000000001E-2</v>
      </c>
      <c r="AF24" s="2638">
        <f t="shared" si="1"/>
        <v>1.2500000000000001E-2</v>
      </c>
      <c r="AG24" s="2638">
        <f>ROUND(AVERAGE(K24:K$29)/100,4)</f>
        <v>1.32E-2</v>
      </c>
      <c r="AH24" s="2638">
        <f>ROUND(AVERAGE(L24:L$29)/100,4)</f>
        <v>1.0500000000000001E-2</v>
      </c>
    </row>
    <row r="25" spans="1:34">
      <c r="A25" s="2620" t="s">
        <v>964</v>
      </c>
      <c r="B25" s="2633">
        <f t="shared" si="112"/>
        <v>319.87748030386797</v>
      </c>
      <c r="C25" s="2633">
        <f t="shared" si="112"/>
        <v>269.60135833173649</v>
      </c>
      <c r="D25" s="2633">
        <f t="shared" si="109"/>
        <v>269.60135833173649</v>
      </c>
      <c r="E25" s="2633">
        <f t="shared" si="113"/>
        <v>439.18089823583784</v>
      </c>
      <c r="F25" s="2633">
        <f t="shared" si="113"/>
        <v>239.23503918706311</v>
      </c>
      <c r="G25" s="3438"/>
      <c r="H25" s="2623">
        <v>1</v>
      </c>
      <c r="I25" s="2623">
        <v>0.51</v>
      </c>
      <c r="J25" s="2623">
        <v>0.54</v>
      </c>
      <c r="K25" s="2623">
        <v>0.48</v>
      </c>
      <c r="L25" s="2634">
        <v>0.93</v>
      </c>
      <c r="N25" s="2636">
        <f t="shared" si="111"/>
        <v>5.1000000000000004E-3</v>
      </c>
      <c r="O25" s="2637">
        <f t="shared" si="107"/>
        <v>5.4000000000000003E-3</v>
      </c>
      <c r="P25" s="2637">
        <f t="shared" si="107"/>
        <v>4.7999999999999996E-3</v>
      </c>
      <c r="Q25" s="2637">
        <f t="shared" si="107"/>
        <v>9.300000000000001E-3</v>
      </c>
      <c r="R25" s="2630"/>
      <c r="S25" s="2636">
        <f>B25/B26-1</f>
        <v>5.9040261127922822E-3</v>
      </c>
      <c r="T25" s="2637">
        <f>C25/C26-1</f>
        <v>5.9752176557332781E-3</v>
      </c>
      <c r="U25" s="2637">
        <f>E25/E26-1</f>
        <v>4.9906138119859556E-3</v>
      </c>
      <c r="V25" s="2637">
        <f>F25/F26-1</f>
        <v>9.4305450930933787E-3</v>
      </c>
      <c r="X25" s="2718">
        <f>ROUND(SUMPRODUCT(PRODUCT(1+N25:N$28)),4)</f>
        <v>1.0399</v>
      </c>
      <c r="Y25" s="2718">
        <f>ROUND(SUMPRODUCT(PRODUCT(1+O25:O$28)),4)</f>
        <v>1.0451999999999999</v>
      </c>
      <c r="Z25" s="2718">
        <f t="shared" si="0"/>
        <v>1.0451999999999999</v>
      </c>
      <c r="AA25" s="2718">
        <f>ROUND(SUMPRODUCT(PRODUCT(1+P25:P$28)),4)</f>
        <v>1.0387999999999999</v>
      </c>
      <c r="AB25" s="2718">
        <f>ROUND(SUMPRODUCT(PRODUCT(1+Q25:Q$28)),4)</f>
        <v>1.0411999999999999</v>
      </c>
      <c r="AD25" s="2638">
        <f>ROUND(AVERAGE(I25:I$29)/100,4)</f>
        <v>1.38E-2</v>
      </c>
      <c r="AE25" s="2638">
        <f>ROUND(AVERAGE(J25:J$29)/100,4)</f>
        <v>1.3599999999999999E-2</v>
      </c>
      <c r="AF25" s="2638">
        <f t="shared" si="1"/>
        <v>1.3599999999999999E-2</v>
      </c>
      <c r="AG25" s="2638">
        <f>ROUND(AVERAGE(K25:K$29)/100,4)</f>
        <v>1.4200000000000001E-2</v>
      </c>
      <c r="AH25" s="2638">
        <f>ROUND(AVERAGE(L25:L$29)/100,4)</f>
        <v>1.0800000000000001E-2</v>
      </c>
    </row>
    <row r="26" spans="1:34" ht="13.5" thickBot="1">
      <c r="A26" s="2620" t="s">
        <v>963</v>
      </c>
      <c r="B26" s="2647">
        <v>318</v>
      </c>
      <c r="C26" s="2647">
        <v>268</v>
      </c>
      <c r="D26" s="2647">
        <f t="shared" si="109"/>
        <v>268</v>
      </c>
      <c r="E26" s="2647">
        <v>437</v>
      </c>
      <c r="F26" s="2648">
        <v>237</v>
      </c>
      <c r="G26" s="3437">
        <v>2014</v>
      </c>
      <c r="H26" s="2639">
        <v>4</v>
      </c>
      <c r="I26" s="2639">
        <v>0.21</v>
      </c>
      <c r="J26" s="2639">
        <v>0.41</v>
      </c>
      <c r="K26" s="2639">
        <v>0.12</v>
      </c>
      <c r="L26" s="2640">
        <v>0.89</v>
      </c>
      <c r="N26" s="2628">
        <f t="shared" si="111"/>
        <v>2.0999999999999999E-3</v>
      </c>
      <c r="O26" s="2629">
        <f t="shared" si="107"/>
        <v>4.0999999999999995E-3</v>
      </c>
      <c r="P26" s="2629">
        <f t="shared" si="107"/>
        <v>1.1999999999999999E-3</v>
      </c>
      <c r="Q26" s="2629">
        <f t="shared" si="107"/>
        <v>8.8999999999999999E-3</v>
      </c>
      <c r="R26" s="2630"/>
      <c r="S26" s="2631"/>
      <c r="T26" s="2632"/>
      <c r="U26" s="2632"/>
      <c r="V26" s="2632"/>
      <c r="X26" s="2718">
        <f>ROUND(SUMPRODUCT(PRODUCT(1+N26:N$28)),4)</f>
        <v>1.0347</v>
      </c>
      <c r="Y26" s="2718">
        <f>ROUND(SUMPRODUCT(PRODUCT(1+O26:O$28)),4)</f>
        <v>1.0395000000000001</v>
      </c>
      <c r="Z26" s="2718">
        <f t="shared" si="0"/>
        <v>1.0395000000000001</v>
      </c>
      <c r="AA26" s="2718">
        <f>ROUND(SUMPRODUCT(PRODUCT(1+P26:P$28)),4)</f>
        <v>1.0338000000000001</v>
      </c>
      <c r="AB26" s="2718">
        <f>ROUND(SUMPRODUCT(PRODUCT(1+Q26:Q$28)),4)</f>
        <v>1.0316000000000001</v>
      </c>
      <c r="AD26" s="2638">
        <f>ROUND(AVERAGE(I26:I$29)/100,4)</f>
        <v>1.6E-2</v>
      </c>
      <c r="AE26" s="2638">
        <f>ROUND(AVERAGE(J26:J$29)/100,4)</f>
        <v>1.5599999999999999E-2</v>
      </c>
      <c r="AF26" s="2638">
        <f t="shared" si="1"/>
        <v>1.5599999999999999E-2</v>
      </c>
      <c r="AG26" s="2638">
        <f>ROUND(AVERAGE(K26:K$29)/100,4)</f>
        <v>1.66E-2</v>
      </c>
      <c r="AH26" s="2638">
        <f>ROUND(AVERAGE(L26:L$29)/100,4)</f>
        <v>1.12E-2</v>
      </c>
    </row>
    <row r="27" spans="1:34">
      <c r="A27" s="2620" t="s">
        <v>962</v>
      </c>
      <c r="B27" s="2633">
        <f t="shared" ref="B27:C29" si="114">B26/(1+N26)</f>
        <v>317.33359944117353</v>
      </c>
      <c r="C27" s="2633">
        <f t="shared" si="114"/>
        <v>266.90568668459315</v>
      </c>
      <c r="D27" s="2633">
        <f t="shared" si="109"/>
        <v>266.90568668459315</v>
      </c>
      <c r="E27" s="2633">
        <f t="shared" ref="E27:F29" si="115">E26/(1+P26)</f>
        <v>436.47622852576905</v>
      </c>
      <c r="F27" s="2633">
        <f t="shared" si="115"/>
        <v>234.90930716622066</v>
      </c>
      <c r="G27" s="3435"/>
      <c r="H27" s="2649">
        <v>3</v>
      </c>
      <c r="I27" s="2649">
        <v>0.83</v>
      </c>
      <c r="J27" s="2649">
        <v>1.47</v>
      </c>
      <c r="K27" s="2649">
        <v>0.65</v>
      </c>
      <c r="L27" s="2650">
        <v>0.72</v>
      </c>
      <c r="N27" s="2628">
        <f t="shared" si="111"/>
        <v>8.3000000000000001E-3</v>
      </c>
      <c r="O27" s="2629">
        <f t="shared" si="107"/>
        <v>1.47E-2</v>
      </c>
      <c r="P27" s="2629">
        <f t="shared" si="107"/>
        <v>6.5000000000000006E-3</v>
      </c>
      <c r="Q27" s="2629">
        <f t="shared" si="107"/>
        <v>7.1999999999999998E-3</v>
      </c>
      <c r="R27" s="2630"/>
      <c r="S27" s="2628"/>
      <c r="T27" s="2629"/>
      <c r="U27" s="2629"/>
      <c r="V27" s="2629"/>
      <c r="X27" s="2718">
        <f>ROUND(SUMPRODUCT(PRODUCT(1+N27:N$28)),4)</f>
        <v>1.0325</v>
      </c>
      <c r="Y27" s="2718">
        <f>ROUND(SUMPRODUCT(PRODUCT(1+O27:O$28)),4)</f>
        <v>1.0353000000000001</v>
      </c>
      <c r="Z27" s="2718">
        <f t="shared" ref="Z27:Z28" si="116">Y27</f>
        <v>1.0353000000000001</v>
      </c>
      <c r="AA27" s="2718">
        <f>ROUND(SUMPRODUCT(PRODUCT(1+P27:P$28)),4)</f>
        <v>1.0326</v>
      </c>
      <c r="AB27" s="2718">
        <f>ROUND(SUMPRODUCT(PRODUCT(1+Q27:Q$28)),4)</f>
        <v>1.0225</v>
      </c>
      <c r="AD27" s="2638">
        <f>ROUND(AVERAGE(I27:I$29)/100,4)</f>
        <v>2.07E-2</v>
      </c>
      <c r="AE27" s="2638">
        <f>ROUND(AVERAGE(J27:J$29)/100,4)</f>
        <v>1.95E-2</v>
      </c>
      <c r="AF27" s="2638">
        <f t="shared" si="1"/>
        <v>1.95E-2</v>
      </c>
      <c r="AG27" s="2638">
        <f>ROUND(AVERAGE(K27:K$29)/100,4)</f>
        <v>2.1700000000000001E-2</v>
      </c>
      <c r="AH27" s="2638">
        <f>ROUND(AVERAGE(L27:L$29)/100,4)</f>
        <v>1.2E-2</v>
      </c>
    </row>
    <row r="28" spans="1:34" ht="13.5" thickBot="1">
      <c r="A28" s="2620" t="s">
        <v>961</v>
      </c>
      <c r="B28" s="2633">
        <f t="shared" si="114"/>
        <v>314.72141172386546</v>
      </c>
      <c r="C28" s="2633">
        <f t="shared" si="114"/>
        <v>263.03901319069001</v>
      </c>
      <c r="D28" s="2633">
        <f t="shared" si="109"/>
        <v>263.03901319069001</v>
      </c>
      <c r="E28" s="2633">
        <f t="shared" si="115"/>
        <v>433.65745506782821</v>
      </c>
      <c r="F28" s="2633">
        <f t="shared" si="115"/>
        <v>233.23005080045735</v>
      </c>
      <c r="G28" s="3435"/>
      <c r="H28" s="2639">
        <v>2</v>
      </c>
      <c r="I28" s="2639">
        <v>2.4</v>
      </c>
      <c r="J28" s="2639">
        <v>2.0299999999999998</v>
      </c>
      <c r="K28" s="2639">
        <v>2.59</v>
      </c>
      <c r="L28" s="2640">
        <v>1.52</v>
      </c>
      <c r="N28" s="2628">
        <f t="shared" si="111"/>
        <v>2.4E-2</v>
      </c>
      <c r="O28" s="2629">
        <f t="shared" si="107"/>
        <v>2.0299999999999999E-2</v>
      </c>
      <c r="P28" s="2629">
        <f t="shared" si="107"/>
        <v>2.5899999999999999E-2</v>
      </c>
      <c r="Q28" s="2629">
        <f t="shared" si="107"/>
        <v>1.52E-2</v>
      </c>
      <c r="R28" s="2630"/>
      <c r="S28" s="2628"/>
      <c r="T28" s="2629"/>
      <c r="U28" s="2629"/>
      <c r="V28" s="2629"/>
      <c r="X28" s="2718">
        <f>1+N28</f>
        <v>1.024</v>
      </c>
      <c r="Y28" s="2718">
        <f>1+O28</f>
        <v>1.0203</v>
      </c>
      <c r="Z28" s="2718">
        <f t="shared" si="116"/>
        <v>1.0203</v>
      </c>
      <c r="AA28" s="2718">
        <f>1+P28</f>
        <v>1.0259</v>
      </c>
      <c r="AB28" s="2718">
        <f>1+Q28</f>
        <v>1.0152000000000001</v>
      </c>
      <c r="AD28" s="2638">
        <f>ROUND(AVERAGE(I28:I$29)/100,4)</f>
        <v>2.69E-2</v>
      </c>
      <c r="AE28" s="2638">
        <f>ROUND(AVERAGE(J28:J$29)/100,4)</f>
        <v>2.1899999999999999E-2</v>
      </c>
      <c r="AF28" s="2638">
        <f t="shared" ref="AF28" si="117">AE28</f>
        <v>2.1899999999999999E-2</v>
      </c>
      <c r="AG28" s="2638">
        <f>ROUND(AVERAGE(K28:K$29)/100,4)</f>
        <v>2.9399999999999999E-2</v>
      </c>
      <c r="AH28" s="2638">
        <f>ROUND(AVERAGE(L28:L$29)/100,4)</f>
        <v>1.44E-2</v>
      </c>
    </row>
    <row r="29" spans="1:34" s="2655" customFormat="1" ht="13.5" thickBot="1">
      <c r="A29" s="2651" t="s">
        <v>960</v>
      </c>
      <c r="B29" s="2652">
        <f t="shared" si="114"/>
        <v>307.34512863658733</v>
      </c>
      <c r="C29" s="2652">
        <f t="shared" si="114"/>
        <v>257.80556031626975</v>
      </c>
      <c r="D29" s="2652">
        <f t="shared" si="109"/>
        <v>257.80556031626975</v>
      </c>
      <c r="E29" s="2652">
        <f t="shared" si="115"/>
        <v>422.70928459677179</v>
      </c>
      <c r="F29" s="2652">
        <f t="shared" si="115"/>
        <v>229.73803270336617</v>
      </c>
      <c r="G29" s="3438"/>
      <c r="H29" s="2653">
        <v>1</v>
      </c>
      <c r="I29" s="2653">
        <v>2.97</v>
      </c>
      <c r="J29" s="2653">
        <v>2.34</v>
      </c>
      <c r="K29" s="2653">
        <v>3.28</v>
      </c>
      <c r="L29" s="2654">
        <v>1.36</v>
      </c>
      <c r="N29" s="2656">
        <f t="shared" si="111"/>
        <v>2.9700000000000001E-2</v>
      </c>
      <c r="O29" s="2657">
        <f t="shared" si="107"/>
        <v>2.3399999999999997E-2</v>
      </c>
      <c r="P29" s="2657">
        <f t="shared" si="107"/>
        <v>3.2799999999999996E-2</v>
      </c>
      <c r="Q29" s="2657">
        <f t="shared" si="107"/>
        <v>1.3600000000000001E-2</v>
      </c>
      <c r="R29" s="2658"/>
      <c r="S29" s="2659">
        <f>B29/B30-1</f>
        <v>2.7910129219355539E-2</v>
      </c>
      <c r="T29" s="2660">
        <f>C29/C30-1</f>
        <v>2.3037937762975247E-2</v>
      </c>
      <c r="U29" s="2660">
        <f>E29/E30-1</f>
        <v>3.3519033243940788E-2</v>
      </c>
      <c r="V29" s="2660">
        <f>F29/F30-1</f>
        <v>1.2061818076502862E-2</v>
      </c>
      <c r="W29" s="2727" t="s">
        <v>2635</v>
      </c>
      <c r="X29" s="2729">
        <v>1</v>
      </c>
      <c r="Y29" s="2729">
        <v>1</v>
      </c>
      <c r="Z29" s="2729">
        <v>1</v>
      </c>
      <c r="AA29" s="2729">
        <v>1</v>
      </c>
      <c r="AB29" s="2729">
        <v>1</v>
      </c>
      <c r="AD29" s="2962">
        <f>I29/100</f>
        <v>2.9700000000000001E-2</v>
      </c>
      <c r="AE29" s="2962">
        <f>J29/100</f>
        <v>2.3399999999999997E-2</v>
      </c>
      <c r="AF29" s="2962">
        <f>AE29</f>
        <v>2.3399999999999997E-2</v>
      </c>
      <c r="AG29" s="2962">
        <f>K29/100</f>
        <v>3.2799999999999996E-2</v>
      </c>
      <c r="AH29" s="2962">
        <f>L29/100</f>
        <v>1.3600000000000001E-2</v>
      </c>
    </row>
    <row r="30" spans="1:34" ht="13.5" thickBot="1">
      <c r="A30" s="2620" t="s">
        <v>2578</v>
      </c>
      <c r="B30" s="2625">
        <v>299</v>
      </c>
      <c r="C30" s="2625">
        <v>252</v>
      </c>
      <c r="D30" s="2625">
        <f t="shared" si="109"/>
        <v>252</v>
      </c>
      <c r="E30" s="2625">
        <v>409</v>
      </c>
      <c r="F30" s="2626">
        <v>227</v>
      </c>
      <c r="G30" s="3442">
        <v>2013</v>
      </c>
      <c r="H30" s="2661">
        <v>4</v>
      </c>
      <c r="I30" s="2661">
        <v>1.83</v>
      </c>
      <c r="J30" s="2661">
        <v>1.68</v>
      </c>
      <c r="K30" s="2661">
        <v>1.97</v>
      </c>
      <c r="L30" s="2662">
        <v>0.87</v>
      </c>
      <c r="N30" s="2641">
        <f t="shared" si="111"/>
        <v>1.83E-2</v>
      </c>
      <c r="O30" s="2642">
        <f t="shared" si="107"/>
        <v>1.6799999999999999E-2</v>
      </c>
      <c r="P30" s="2642">
        <f t="shared" si="107"/>
        <v>1.9699999999999999E-2</v>
      </c>
      <c r="Q30" s="2642">
        <f t="shared" si="107"/>
        <v>8.6999999999999994E-3</v>
      </c>
      <c r="R30" s="2630"/>
      <c r="S30" s="2631"/>
      <c r="T30" s="2632"/>
      <c r="U30" s="2632"/>
      <c r="V30" s="2632"/>
      <c r="X30" s="2632"/>
      <c r="Y30" s="2632"/>
      <c r="Z30" s="2632"/>
    </row>
    <row r="31" spans="1:34">
      <c r="A31" s="2620" t="s">
        <v>2579</v>
      </c>
      <c r="B31" s="2633">
        <f t="shared" ref="B31:C33" si="118">B30/(1+N30)</f>
        <v>293.62663262299913</v>
      </c>
      <c r="C31" s="2633">
        <f t="shared" si="118"/>
        <v>247.83634933123525</v>
      </c>
      <c r="D31" s="2633">
        <f t="shared" si="109"/>
        <v>247.83634933123525</v>
      </c>
      <c r="E31" s="2633">
        <f t="shared" ref="E31:F33" si="119">E30/(1+P30)</f>
        <v>401.09836226341076</v>
      </c>
      <c r="F31" s="2633">
        <f t="shared" si="119"/>
        <v>225.04213343908003</v>
      </c>
      <c r="G31" s="3443"/>
      <c r="H31" s="2644">
        <v>3</v>
      </c>
      <c r="I31" s="2644">
        <v>1.86</v>
      </c>
      <c r="J31" s="2644">
        <v>1.72</v>
      </c>
      <c r="K31" s="2644">
        <v>1.98</v>
      </c>
      <c r="L31" s="2645">
        <v>0.88</v>
      </c>
      <c r="N31" s="2628">
        <f t="shared" si="111"/>
        <v>1.8600000000000002E-2</v>
      </c>
      <c r="O31" s="2646">
        <f t="shared" si="107"/>
        <v>1.72E-2</v>
      </c>
      <c r="P31" s="2646">
        <f t="shared" si="107"/>
        <v>1.9799999999999998E-2</v>
      </c>
      <c r="Q31" s="2646">
        <f t="shared" si="107"/>
        <v>8.8000000000000005E-3</v>
      </c>
      <c r="R31" s="2630"/>
      <c r="S31" s="2628"/>
      <c r="T31" s="2629"/>
      <c r="U31" s="2629"/>
      <c r="V31" s="2629"/>
    </row>
    <row r="32" spans="1:34">
      <c r="A32" s="2620" t="s">
        <v>2580</v>
      </c>
      <c r="B32" s="2633">
        <f t="shared" si="118"/>
        <v>288.2649053828776</v>
      </c>
      <c r="C32" s="2633">
        <f t="shared" si="118"/>
        <v>243.64564425013293</v>
      </c>
      <c r="D32" s="2633">
        <f t="shared" si="109"/>
        <v>243.64564425013293</v>
      </c>
      <c r="E32" s="2633">
        <f t="shared" si="119"/>
        <v>393.31080825986544</v>
      </c>
      <c r="F32" s="2633">
        <f t="shared" si="119"/>
        <v>223.07903790551154</v>
      </c>
      <c r="G32" s="3443"/>
      <c r="H32" s="2624">
        <v>2</v>
      </c>
      <c r="I32" s="2624">
        <v>2.04</v>
      </c>
      <c r="J32" s="2624">
        <v>2.33</v>
      </c>
      <c r="K32" s="2624">
        <v>2.0699999999999998</v>
      </c>
      <c r="L32" s="2635">
        <v>0.69</v>
      </c>
      <c r="N32" s="2628">
        <f t="shared" si="111"/>
        <v>2.0400000000000001E-2</v>
      </c>
      <c r="O32" s="2646">
        <f t="shared" si="107"/>
        <v>2.3300000000000001E-2</v>
      </c>
      <c r="P32" s="2646">
        <f t="shared" si="107"/>
        <v>2.07E-2</v>
      </c>
      <c r="Q32" s="2646">
        <f t="shared" si="107"/>
        <v>6.8999999999999999E-3</v>
      </c>
      <c r="R32" s="2630"/>
      <c r="S32" s="2628"/>
      <c r="T32" s="2629"/>
      <c r="U32" s="2629"/>
      <c r="V32" s="2629"/>
      <c r="X32" s="2730"/>
      <c r="Y32" s="2732"/>
    </row>
    <row r="33" spans="1:26">
      <c r="A33" s="2620" t="s">
        <v>2581</v>
      </c>
      <c r="B33" s="2633">
        <f t="shared" si="118"/>
        <v>282.50186729015837</v>
      </c>
      <c r="C33" s="2633">
        <f t="shared" si="118"/>
        <v>238.09796174155468</v>
      </c>
      <c r="D33" s="2633">
        <f t="shared" si="109"/>
        <v>238.09796174155468</v>
      </c>
      <c r="E33" s="2633">
        <f t="shared" si="119"/>
        <v>385.33438646014054</v>
      </c>
      <c r="F33" s="2633">
        <f t="shared" si="119"/>
        <v>221.55034055567739</v>
      </c>
      <c r="G33" s="3444"/>
      <c r="H33" s="2623">
        <v>1</v>
      </c>
      <c r="I33" s="2623">
        <v>1.67</v>
      </c>
      <c r="J33" s="2623">
        <v>1.31</v>
      </c>
      <c r="K33" s="2623">
        <v>1.85</v>
      </c>
      <c r="L33" s="2634">
        <v>0.96</v>
      </c>
      <c r="N33" s="2636">
        <f t="shared" si="111"/>
        <v>1.67E-2</v>
      </c>
      <c r="O33" s="2637">
        <f t="shared" si="107"/>
        <v>1.3100000000000001E-2</v>
      </c>
      <c r="P33" s="2637">
        <f t="shared" si="107"/>
        <v>1.8500000000000003E-2</v>
      </c>
      <c r="Q33" s="2637">
        <f t="shared" si="107"/>
        <v>9.5999999999999992E-3</v>
      </c>
      <c r="R33" s="2630"/>
      <c r="S33" s="2636">
        <f>B33/B34-1</f>
        <v>1.6193767230785472E-2</v>
      </c>
      <c r="T33" s="2637">
        <f>C33/C34-1</f>
        <v>1.7512657015190891E-2</v>
      </c>
      <c r="U33" s="2637">
        <f>E33/E34-1</f>
        <v>1.6713420739157048E-2</v>
      </c>
      <c r="V33" s="2637">
        <f>F33/F34-1</f>
        <v>7.0470025258062563E-3</v>
      </c>
      <c r="X33" s="2731"/>
      <c r="Y33" s="2638"/>
      <c r="Z33" s="2638"/>
    </row>
    <row r="34" spans="1:26" ht="13.5" thickBot="1">
      <c r="A34" s="2620" t="s">
        <v>2582</v>
      </c>
      <c r="B34" s="2663">
        <v>278</v>
      </c>
      <c r="C34" s="2663">
        <v>234</v>
      </c>
      <c r="D34" s="2663">
        <f t="shared" si="109"/>
        <v>234</v>
      </c>
      <c r="E34" s="2663">
        <v>379</v>
      </c>
      <c r="F34" s="2664">
        <v>220</v>
      </c>
      <c r="G34" s="3437">
        <v>2012</v>
      </c>
      <c r="H34" s="2639">
        <v>4</v>
      </c>
      <c r="I34" s="2639">
        <v>0.91</v>
      </c>
      <c r="J34" s="2639">
        <v>0.68</v>
      </c>
      <c r="K34" s="2639">
        <v>0.98</v>
      </c>
      <c r="L34" s="2640">
        <v>0.9</v>
      </c>
      <c r="N34" s="2628">
        <f t="shared" si="111"/>
        <v>9.1000000000000004E-3</v>
      </c>
      <c r="O34" s="2629">
        <f t="shared" si="111"/>
        <v>6.8000000000000005E-3</v>
      </c>
      <c r="P34" s="2629">
        <f t="shared" si="111"/>
        <v>9.7999999999999997E-3</v>
      </c>
      <c r="Q34" s="2629">
        <f t="shared" si="111"/>
        <v>9.0000000000000011E-3</v>
      </c>
      <c r="R34" s="2630"/>
      <c r="S34" s="2631"/>
      <c r="T34" s="2632"/>
      <c r="U34" s="2632"/>
      <c r="V34" s="2632"/>
      <c r="X34" s="2632"/>
      <c r="Y34" s="2632"/>
      <c r="Z34" s="2632"/>
    </row>
    <row r="35" spans="1:26">
      <c r="A35" s="2620" t="s">
        <v>2583</v>
      </c>
      <c r="B35" s="2633">
        <f>B34/(1+N34)</f>
        <v>275.49301357645425</v>
      </c>
      <c r="C35" s="2633">
        <f>C34/(1+O34)</f>
        <v>232.41954707985698</v>
      </c>
      <c r="D35" s="2633">
        <f t="shared" si="109"/>
        <v>232.41954707985698</v>
      </c>
      <c r="E35" s="2633">
        <f t="shared" ref="E35:F37" si="120">E34/(1+P34)</f>
        <v>375.32184591008121</v>
      </c>
      <c r="F35" s="2633">
        <f t="shared" si="120"/>
        <v>218.03766105054513</v>
      </c>
      <c r="G35" s="3435"/>
      <c r="H35" s="2644">
        <v>3</v>
      </c>
      <c r="I35" s="2644">
        <v>0.09</v>
      </c>
      <c r="J35" s="2644">
        <v>0.28999999999999998</v>
      </c>
      <c r="K35" s="2644">
        <v>-0.01</v>
      </c>
      <c r="L35" s="2645">
        <v>0.57999999999999996</v>
      </c>
      <c r="N35" s="2628">
        <f t="shared" si="111"/>
        <v>8.9999999999999998E-4</v>
      </c>
      <c r="O35" s="2629">
        <f t="shared" si="111"/>
        <v>2.8999999999999998E-3</v>
      </c>
      <c r="P35" s="2629">
        <f t="shared" si="111"/>
        <v>-1E-4</v>
      </c>
      <c r="Q35" s="2629">
        <f t="shared" si="111"/>
        <v>5.7999999999999996E-3</v>
      </c>
      <c r="R35" s="2630"/>
      <c r="S35" s="2628"/>
      <c r="T35" s="2629"/>
      <c r="U35" s="2629"/>
      <c r="V35" s="2629"/>
    </row>
    <row r="36" spans="1:26">
      <c r="A36" s="2620" t="s">
        <v>2584</v>
      </c>
      <c r="B36" s="2633">
        <f>B35/(1+N35)</f>
        <v>275.24529281292263</v>
      </c>
      <c r="C36" s="2633">
        <f>C35/(1+O35)</f>
        <v>231.74747938962707</v>
      </c>
      <c r="D36" s="2633">
        <f t="shared" si="109"/>
        <v>231.74747938962707</v>
      </c>
      <c r="E36" s="2633">
        <f t="shared" si="120"/>
        <v>375.35938184826603</v>
      </c>
      <c r="F36" s="2633">
        <f t="shared" si="120"/>
        <v>216.78033510692495</v>
      </c>
      <c r="G36" s="3435"/>
      <c r="H36" s="2624">
        <v>2</v>
      </c>
      <c r="I36" s="2624">
        <v>0.02</v>
      </c>
      <c r="J36" s="2624">
        <v>0.12</v>
      </c>
      <c r="K36" s="2624">
        <v>-0.08</v>
      </c>
      <c r="L36" s="2635">
        <v>1.24</v>
      </c>
      <c r="N36" s="2628">
        <f t="shared" si="111"/>
        <v>2.0000000000000001E-4</v>
      </c>
      <c r="O36" s="2629">
        <f t="shared" si="111"/>
        <v>1.1999999999999999E-3</v>
      </c>
      <c r="P36" s="2629">
        <f t="shared" si="111"/>
        <v>-8.0000000000000004E-4</v>
      </c>
      <c r="Q36" s="2629">
        <f t="shared" si="111"/>
        <v>1.24E-2</v>
      </c>
      <c r="R36" s="2630"/>
      <c r="S36" s="2628"/>
      <c r="T36" s="2629"/>
      <c r="U36" s="2629"/>
      <c r="V36" s="2629"/>
    </row>
    <row r="37" spans="1:26" ht="13.5" thickBot="1">
      <c r="A37" s="2620" t="s">
        <v>2585</v>
      </c>
      <c r="B37" s="2633">
        <f>B36/(1+N36)</f>
        <v>275.19025476197027</v>
      </c>
      <c r="C37" s="2665">
        <v>232</v>
      </c>
      <c r="D37" s="2665">
        <f t="shared" si="109"/>
        <v>232</v>
      </c>
      <c r="E37" s="2633">
        <f t="shared" si="120"/>
        <v>375.65990977608692</v>
      </c>
      <c r="F37" s="2633">
        <f t="shared" si="120"/>
        <v>214.12518283971252</v>
      </c>
      <c r="G37" s="3438"/>
      <c r="H37" s="2623">
        <v>1</v>
      </c>
      <c r="I37" s="2623">
        <v>0.02</v>
      </c>
      <c r="J37" s="2623">
        <v>0.13</v>
      </c>
      <c r="K37" s="2623">
        <v>-0.04</v>
      </c>
      <c r="L37" s="2634">
        <v>0.46</v>
      </c>
      <c r="N37" s="2628">
        <f t="shared" si="111"/>
        <v>2.0000000000000001E-4</v>
      </c>
      <c r="O37" s="2629">
        <f t="shared" si="111"/>
        <v>1.2999999999999999E-3</v>
      </c>
      <c r="P37" s="2629">
        <f t="shared" si="111"/>
        <v>-4.0000000000000002E-4</v>
      </c>
      <c r="Q37" s="2629">
        <f t="shared" si="111"/>
        <v>4.5999999999999999E-3</v>
      </c>
      <c r="R37" s="2630"/>
      <c r="S37" s="2636">
        <f>B37/B38-1</f>
        <v>6.9183549807361189E-4</v>
      </c>
      <c r="T37" s="2637">
        <f>C37/C38-1</f>
        <v>0</v>
      </c>
      <c r="U37" s="2637">
        <f>E37/E38-1</f>
        <v>-9.0449527636460303E-4</v>
      </c>
      <c r="V37" s="2637">
        <f>F37/F38-1</f>
        <v>5.2825485432512753E-3</v>
      </c>
      <c r="X37" s="2638"/>
      <c r="Y37" s="2638"/>
      <c r="Z37" s="2638"/>
    </row>
    <row r="38" spans="1:26" ht="13.5" thickBot="1">
      <c r="A38" s="2620" t="s">
        <v>2586</v>
      </c>
      <c r="B38" s="2625">
        <v>275</v>
      </c>
      <c r="C38" s="2625">
        <v>232</v>
      </c>
      <c r="D38" s="2625">
        <f t="shared" si="109"/>
        <v>232</v>
      </c>
      <c r="E38" s="2625">
        <v>376</v>
      </c>
      <c r="F38" s="2626">
        <v>213</v>
      </c>
      <c r="G38" s="3437">
        <v>2011</v>
      </c>
      <c r="H38" s="2639">
        <v>4</v>
      </c>
      <c r="I38" s="2639">
        <v>-0.2</v>
      </c>
      <c r="J38" s="2639">
        <v>0.04</v>
      </c>
      <c r="K38" s="2639">
        <v>-0.34</v>
      </c>
      <c r="L38" s="2640">
        <v>0.46</v>
      </c>
      <c r="N38" s="2641">
        <f t="shared" si="111"/>
        <v>-2E-3</v>
      </c>
      <c r="O38" s="2642">
        <f t="shared" si="111"/>
        <v>4.0000000000000002E-4</v>
      </c>
      <c r="P38" s="2642">
        <f t="shared" si="111"/>
        <v>-3.4000000000000002E-3</v>
      </c>
      <c r="Q38" s="2642">
        <f t="shared" si="111"/>
        <v>4.5999999999999999E-3</v>
      </c>
      <c r="R38" s="2630"/>
      <c r="S38" s="2631"/>
      <c r="T38" s="2632"/>
      <c r="U38" s="2632"/>
      <c r="V38" s="2632"/>
      <c r="X38" s="2632"/>
      <c r="Y38" s="2632"/>
      <c r="Z38" s="2632"/>
    </row>
    <row r="39" spans="1:26">
      <c r="A39" s="2620" t="s">
        <v>2587</v>
      </c>
      <c r="B39" s="2633">
        <f t="shared" ref="B39:C41" si="121">B38/(1+N38)</f>
        <v>275.55110220440883</v>
      </c>
      <c r="C39" s="2633">
        <f t="shared" si="121"/>
        <v>231.90723710515795</v>
      </c>
      <c r="D39" s="2633">
        <f t="shared" si="109"/>
        <v>231.90723710515795</v>
      </c>
      <c r="E39" s="2633">
        <f t="shared" ref="E39:F41" si="122">E38/(1+P38)</f>
        <v>377.28276138872161</v>
      </c>
      <c r="F39" s="2633">
        <f t="shared" si="122"/>
        <v>212.02468644236512</v>
      </c>
      <c r="G39" s="3435">
        <v>2011</v>
      </c>
      <c r="H39" s="2644">
        <v>3</v>
      </c>
      <c r="I39" s="2644">
        <v>0.13</v>
      </c>
      <c r="J39" s="2644">
        <v>0.75</v>
      </c>
      <c r="K39" s="2644">
        <v>-0.08</v>
      </c>
      <c r="L39" s="2645">
        <v>0.53</v>
      </c>
      <c r="N39" s="2628">
        <f t="shared" si="111"/>
        <v>1.2999999999999999E-3</v>
      </c>
      <c r="O39" s="2646">
        <f t="shared" si="111"/>
        <v>7.4999999999999997E-3</v>
      </c>
      <c r="P39" s="2646">
        <f t="shared" si="111"/>
        <v>-8.0000000000000004E-4</v>
      </c>
      <c r="Q39" s="2646">
        <f t="shared" si="111"/>
        <v>5.3E-3</v>
      </c>
      <c r="R39" s="2630"/>
      <c r="S39" s="2628"/>
      <c r="T39" s="2629"/>
      <c r="U39" s="2629"/>
      <c r="V39" s="2629"/>
    </row>
    <row r="40" spans="1:26">
      <c r="A40" s="2620" t="s">
        <v>2588</v>
      </c>
      <c r="B40" s="2633">
        <f t="shared" si="121"/>
        <v>275.19335084830601</v>
      </c>
      <c r="C40" s="2633">
        <f t="shared" si="121"/>
        <v>230.18088050139744</v>
      </c>
      <c r="D40" s="2633">
        <f t="shared" si="109"/>
        <v>230.18088050139744</v>
      </c>
      <c r="E40" s="2633">
        <f t="shared" si="122"/>
        <v>377.58482925212331</v>
      </c>
      <c r="F40" s="2633">
        <f t="shared" si="122"/>
        <v>210.90687997847917</v>
      </c>
      <c r="G40" s="3435">
        <v>2011</v>
      </c>
      <c r="H40" s="2624">
        <v>2</v>
      </c>
      <c r="I40" s="2624">
        <v>-0.4</v>
      </c>
      <c r="J40" s="2624">
        <v>0.17</v>
      </c>
      <c r="K40" s="2624">
        <v>-0.57999999999999996</v>
      </c>
      <c r="L40" s="2635">
        <v>-0.2</v>
      </c>
      <c r="N40" s="2628">
        <f t="shared" si="111"/>
        <v>-4.0000000000000001E-3</v>
      </c>
      <c r="O40" s="2646">
        <f t="shared" si="111"/>
        <v>1.7000000000000001E-3</v>
      </c>
      <c r="P40" s="2646">
        <f t="shared" si="111"/>
        <v>-5.7999999999999996E-3</v>
      </c>
      <c r="Q40" s="2646">
        <f t="shared" si="111"/>
        <v>-2E-3</v>
      </c>
      <c r="R40" s="2630"/>
      <c r="S40" s="2628"/>
      <c r="T40" s="2629"/>
      <c r="U40" s="2629"/>
      <c r="V40" s="2629"/>
    </row>
    <row r="41" spans="1:26" ht="13.5" thickBot="1">
      <c r="A41" s="2620" t="s">
        <v>2589</v>
      </c>
      <c r="B41" s="2633">
        <f t="shared" si="121"/>
        <v>276.29854502841971</v>
      </c>
      <c r="C41" s="2633">
        <f t="shared" si="121"/>
        <v>229.79023709833027</v>
      </c>
      <c r="D41" s="2633">
        <f t="shared" si="109"/>
        <v>229.79023709833027</v>
      </c>
      <c r="E41" s="2633">
        <f t="shared" si="122"/>
        <v>379.78759731655936</v>
      </c>
      <c r="F41" s="2633">
        <f t="shared" si="122"/>
        <v>211.32953905659235</v>
      </c>
      <c r="G41" s="3438">
        <v>2011</v>
      </c>
      <c r="H41" s="2623">
        <v>1</v>
      </c>
      <c r="I41" s="2623">
        <v>2.65</v>
      </c>
      <c r="J41" s="2623">
        <v>3.76</v>
      </c>
      <c r="K41" s="2623">
        <v>1.89</v>
      </c>
      <c r="L41" s="2634">
        <v>7.95</v>
      </c>
      <c r="N41" s="2636">
        <f t="shared" si="111"/>
        <v>2.6499999999999999E-2</v>
      </c>
      <c r="O41" s="2637">
        <f t="shared" si="111"/>
        <v>3.7599999999999995E-2</v>
      </c>
      <c r="P41" s="2637">
        <f t="shared" si="111"/>
        <v>1.89E-2</v>
      </c>
      <c r="Q41" s="2637">
        <f t="shared" si="111"/>
        <v>7.9500000000000001E-2</v>
      </c>
      <c r="R41" s="2630"/>
      <c r="S41" s="2636">
        <f>B41/B42-1</f>
        <v>2.713213765211786E-2</v>
      </c>
      <c r="T41" s="2637">
        <f>C41/C42-1</f>
        <v>3.9774828499231862E-2</v>
      </c>
      <c r="U41" s="2637">
        <f>E41/E42-1</f>
        <v>1.8197311840641772E-2</v>
      </c>
      <c r="V41" s="2637">
        <f>F41/F42-1</f>
        <v>7.8211933962205826E-2</v>
      </c>
      <c r="X41" s="2638"/>
      <c r="Y41" s="2638"/>
      <c r="Z41" s="2638"/>
    </row>
    <row r="42" spans="1:26" ht="13.5" thickBot="1">
      <c r="A42" s="2620" t="s">
        <v>2590</v>
      </c>
      <c r="B42" s="2625">
        <v>269</v>
      </c>
      <c r="C42" s="2625">
        <v>221</v>
      </c>
      <c r="D42" s="2625">
        <f t="shared" si="109"/>
        <v>221</v>
      </c>
      <c r="E42" s="2625">
        <v>373</v>
      </c>
      <c r="F42" s="2626">
        <v>196</v>
      </c>
      <c r="G42" s="3437">
        <v>2010</v>
      </c>
      <c r="H42" s="2639">
        <v>4</v>
      </c>
      <c r="I42" s="2639">
        <v>5.72</v>
      </c>
      <c r="J42" s="2639">
        <v>6.57</v>
      </c>
      <c r="K42" s="2639">
        <v>5.72</v>
      </c>
      <c r="L42" s="2640">
        <v>2.72</v>
      </c>
      <c r="N42" s="2628">
        <f t="shared" si="111"/>
        <v>5.7200000000000001E-2</v>
      </c>
      <c r="O42" s="2629">
        <f t="shared" si="111"/>
        <v>6.5700000000000008E-2</v>
      </c>
      <c r="P42" s="2629">
        <f t="shared" si="111"/>
        <v>5.7200000000000001E-2</v>
      </c>
      <c r="Q42" s="2629">
        <f t="shared" si="111"/>
        <v>2.7200000000000002E-2</v>
      </c>
      <c r="R42" s="2630"/>
      <c r="S42" s="2631"/>
      <c r="T42" s="2632"/>
      <c r="U42" s="2632"/>
      <c r="V42" s="2632"/>
      <c r="X42" s="2632"/>
      <c r="Y42" s="2632"/>
      <c r="Z42" s="2632"/>
    </row>
    <row r="43" spans="1:26">
      <c r="A43" s="2620" t="s">
        <v>2591</v>
      </c>
      <c r="B43" s="2633">
        <f t="shared" ref="B43:C45" si="123">B42/(1+N42)</f>
        <v>254.44570563753314</v>
      </c>
      <c r="C43" s="2633">
        <f t="shared" si="123"/>
        <v>207.37543398705074</v>
      </c>
      <c r="D43" s="2633">
        <f t="shared" si="109"/>
        <v>207.37543398705074</v>
      </c>
      <c r="E43" s="2633">
        <f t="shared" ref="E43:F45" si="124">E42/(1+P42)</f>
        <v>352.81876655315932</v>
      </c>
      <c r="F43" s="2633">
        <f t="shared" si="124"/>
        <v>190.809968847352</v>
      </c>
      <c r="G43" s="3435">
        <v>2010</v>
      </c>
      <c r="H43" s="2644">
        <v>3</v>
      </c>
      <c r="I43" s="2644">
        <v>4.7300000000000004</v>
      </c>
      <c r="J43" s="2644">
        <v>3.9</v>
      </c>
      <c r="K43" s="2644">
        <v>5.03</v>
      </c>
      <c r="L43" s="2645">
        <v>4.21</v>
      </c>
      <c r="N43" s="2628">
        <f t="shared" si="111"/>
        <v>4.7300000000000002E-2</v>
      </c>
      <c r="O43" s="2629">
        <f t="shared" si="111"/>
        <v>3.9E-2</v>
      </c>
      <c r="P43" s="2629">
        <f t="shared" si="111"/>
        <v>5.0300000000000004E-2</v>
      </c>
      <c r="Q43" s="2629">
        <f t="shared" si="111"/>
        <v>4.2099999999999999E-2</v>
      </c>
      <c r="R43" s="2630"/>
      <c r="S43" s="2628"/>
      <c r="T43" s="2629"/>
      <c r="U43" s="2629"/>
      <c r="V43" s="2629"/>
    </row>
    <row r="44" spans="1:26">
      <c r="A44" s="2620" t="s">
        <v>2592</v>
      </c>
      <c r="B44" s="2633">
        <f t="shared" si="123"/>
        <v>242.95398227588385</v>
      </c>
      <c r="C44" s="2633">
        <f t="shared" si="123"/>
        <v>199.59137053614126</v>
      </c>
      <c r="D44" s="2633">
        <f t="shared" si="109"/>
        <v>199.59137053614126</v>
      </c>
      <c r="E44" s="2633">
        <f t="shared" si="124"/>
        <v>335.92189522342125</v>
      </c>
      <c r="F44" s="2633">
        <f t="shared" si="124"/>
        <v>183.10139991109489</v>
      </c>
      <c r="G44" s="3435">
        <v>2010</v>
      </c>
      <c r="H44" s="2624">
        <v>2</v>
      </c>
      <c r="I44" s="2624">
        <v>4.6900000000000004</v>
      </c>
      <c r="J44" s="2624">
        <v>3.55</v>
      </c>
      <c r="K44" s="2624">
        <v>5.07</v>
      </c>
      <c r="L44" s="2635">
        <v>4.2300000000000004</v>
      </c>
      <c r="N44" s="2628">
        <f t="shared" si="111"/>
        <v>4.6900000000000004E-2</v>
      </c>
      <c r="O44" s="2629">
        <f t="shared" si="111"/>
        <v>3.5499999999999997E-2</v>
      </c>
      <c r="P44" s="2629">
        <f t="shared" si="111"/>
        <v>5.0700000000000002E-2</v>
      </c>
      <c r="Q44" s="2629">
        <f t="shared" si="111"/>
        <v>4.2300000000000004E-2</v>
      </c>
      <c r="R44" s="2630"/>
      <c r="S44" s="2628"/>
      <c r="T44" s="2629"/>
      <c r="U44" s="2629"/>
      <c r="V44" s="2629"/>
    </row>
    <row r="45" spans="1:26" ht="13.5" thickBot="1">
      <c r="A45" s="2620" t="s">
        <v>2593</v>
      </c>
      <c r="B45" s="2633">
        <f t="shared" si="123"/>
        <v>232.06990378821649</v>
      </c>
      <c r="C45" s="2633">
        <f t="shared" si="123"/>
        <v>192.74878854286936</v>
      </c>
      <c r="D45" s="2633">
        <f t="shared" si="109"/>
        <v>192.74878854286936</v>
      </c>
      <c r="E45" s="2633">
        <f t="shared" si="124"/>
        <v>319.71247284992984</v>
      </c>
      <c r="F45" s="2633">
        <f t="shared" si="124"/>
        <v>175.67053622862409</v>
      </c>
      <c r="G45" s="3438">
        <v>2010</v>
      </c>
      <c r="H45" s="2623">
        <v>1</v>
      </c>
      <c r="I45" s="2623">
        <v>5.4</v>
      </c>
      <c r="J45" s="2623">
        <v>3.2</v>
      </c>
      <c r="K45" s="2623">
        <v>6.16</v>
      </c>
      <c r="L45" s="2634">
        <v>4.51</v>
      </c>
      <c r="N45" s="2628">
        <f t="shared" si="111"/>
        <v>5.4000000000000006E-2</v>
      </c>
      <c r="O45" s="2629">
        <f t="shared" si="111"/>
        <v>3.2000000000000001E-2</v>
      </c>
      <c r="P45" s="2629">
        <f t="shared" si="111"/>
        <v>6.1600000000000002E-2</v>
      </c>
      <c r="Q45" s="2629">
        <f t="shared" si="111"/>
        <v>4.5100000000000001E-2</v>
      </c>
      <c r="R45" s="2630"/>
      <c r="S45" s="2636">
        <f>B45/B46-1</f>
        <v>5.4863199037347599E-2</v>
      </c>
      <c r="T45" s="2637">
        <f>C45/C46-1</f>
        <v>3.0742184721226584E-2</v>
      </c>
      <c r="U45" s="2637">
        <f>E45/E46-1</f>
        <v>6.2167683886810154E-2</v>
      </c>
      <c r="V45" s="2637">
        <f>F45/F46-1</f>
        <v>4.5657953741810031E-2</v>
      </c>
      <c r="X45" s="2638"/>
      <c r="Y45" s="2638"/>
      <c r="Z45" s="2638"/>
    </row>
    <row r="46" spans="1:26" ht="13.5" thickBot="1">
      <c r="A46" s="2620" t="s">
        <v>2594</v>
      </c>
      <c r="B46" s="2625">
        <v>220</v>
      </c>
      <c r="C46" s="2625">
        <v>187</v>
      </c>
      <c r="D46" s="2625">
        <f t="shared" si="109"/>
        <v>187</v>
      </c>
      <c r="E46" s="2625">
        <v>301</v>
      </c>
      <c r="F46" s="2626">
        <v>168</v>
      </c>
      <c r="G46" s="3437">
        <v>2009</v>
      </c>
      <c r="H46" s="2639">
        <v>4</v>
      </c>
      <c r="I46" s="2639">
        <v>2.2999999999999998</v>
      </c>
      <c r="J46" s="2639">
        <v>1.04</v>
      </c>
      <c r="K46" s="2639">
        <v>2.84</v>
      </c>
      <c r="L46" s="2640">
        <v>0.67</v>
      </c>
      <c r="N46" s="2641">
        <f t="shared" si="111"/>
        <v>2.3E-2</v>
      </c>
      <c r="O46" s="2642">
        <f t="shared" si="111"/>
        <v>1.04E-2</v>
      </c>
      <c r="P46" s="2642">
        <f t="shared" si="111"/>
        <v>2.8399999999999998E-2</v>
      </c>
      <c r="Q46" s="2642">
        <f t="shared" si="111"/>
        <v>6.7000000000000002E-3</v>
      </c>
      <c r="R46" s="2630"/>
      <c r="S46" s="2631"/>
      <c r="T46" s="2632"/>
      <c r="U46" s="2632"/>
      <c r="V46" s="2632"/>
      <c r="X46" s="2632"/>
      <c r="Y46" s="2632"/>
      <c r="Z46" s="2632"/>
    </row>
    <row r="47" spans="1:26">
      <c r="A47" s="2620" t="s">
        <v>2595</v>
      </c>
      <c r="B47" s="2633">
        <f t="shared" ref="B47:C49" si="125">B46/(1+N46)</f>
        <v>215.05376344086022</v>
      </c>
      <c r="C47" s="2633">
        <f t="shared" si="125"/>
        <v>185.0752177355503</v>
      </c>
      <c r="D47" s="2633">
        <f t="shared" si="109"/>
        <v>185.0752177355503</v>
      </c>
      <c r="E47" s="2633">
        <f t="shared" ref="E47:F49" si="126">E46/(1+P46)</f>
        <v>292.68767016725008</v>
      </c>
      <c r="F47" s="2633">
        <f t="shared" si="126"/>
        <v>166.88189132810174</v>
      </c>
      <c r="G47" s="3435">
        <v>2009</v>
      </c>
      <c r="H47" s="2644">
        <v>3</v>
      </c>
      <c r="I47" s="2644">
        <v>2.1</v>
      </c>
      <c r="J47" s="2644">
        <v>1.86</v>
      </c>
      <c r="K47" s="2644">
        <v>2.29</v>
      </c>
      <c r="L47" s="2645">
        <v>0.85</v>
      </c>
      <c r="N47" s="2628">
        <f t="shared" si="111"/>
        <v>2.1000000000000001E-2</v>
      </c>
      <c r="O47" s="2646">
        <f t="shared" si="111"/>
        <v>1.8600000000000002E-2</v>
      </c>
      <c r="P47" s="2646">
        <f t="shared" si="111"/>
        <v>2.29E-2</v>
      </c>
      <c r="Q47" s="2646">
        <f t="shared" si="111"/>
        <v>8.5000000000000006E-3</v>
      </c>
      <c r="R47" s="2630"/>
      <c r="S47" s="2628"/>
      <c r="T47" s="2629"/>
      <c r="U47" s="2629"/>
      <c r="V47" s="2629"/>
    </row>
    <row r="48" spans="1:26">
      <c r="A48" s="2620" t="s">
        <v>2596</v>
      </c>
      <c r="B48" s="2633">
        <f t="shared" si="125"/>
        <v>210.630522469011</v>
      </c>
      <c r="C48" s="2633">
        <f t="shared" si="125"/>
        <v>181.69567812247232</v>
      </c>
      <c r="D48" s="2633">
        <f t="shared" si="109"/>
        <v>181.69567812247232</v>
      </c>
      <c r="E48" s="2633">
        <f t="shared" si="126"/>
        <v>286.13517466736738</v>
      </c>
      <c r="F48" s="2633">
        <f t="shared" si="126"/>
        <v>165.47535084591149</v>
      </c>
      <c r="G48" s="3435">
        <v>2009</v>
      </c>
      <c r="H48" s="2624">
        <v>2</v>
      </c>
      <c r="I48" s="2624">
        <v>0.86</v>
      </c>
      <c r="J48" s="2624">
        <v>-1.1299999999999999</v>
      </c>
      <c r="K48" s="2624">
        <v>1.79</v>
      </c>
      <c r="L48" s="2635">
        <v>-2.0699999999999998</v>
      </c>
      <c r="N48" s="2628">
        <f t="shared" si="111"/>
        <v>8.6E-3</v>
      </c>
      <c r="O48" s="2646">
        <f t="shared" si="111"/>
        <v>-1.1299999999999999E-2</v>
      </c>
      <c r="P48" s="2646">
        <f t="shared" si="111"/>
        <v>1.7899999999999999E-2</v>
      </c>
      <c r="Q48" s="2646">
        <f t="shared" si="111"/>
        <v>-2.07E-2</v>
      </c>
      <c r="R48" s="2630"/>
      <c r="S48" s="2628"/>
      <c r="T48" s="2629"/>
      <c r="U48" s="2629"/>
      <c r="V48" s="2629"/>
    </row>
    <row r="49" spans="1:26">
      <c r="A49" s="2620" t="s">
        <v>2597</v>
      </c>
      <c r="B49" s="2633">
        <f t="shared" si="125"/>
        <v>208.83454537875372</v>
      </c>
      <c r="C49" s="2633">
        <f t="shared" si="125"/>
        <v>183.77230517090351</v>
      </c>
      <c r="D49" s="2633">
        <f t="shared" si="109"/>
        <v>183.77230517090351</v>
      </c>
      <c r="E49" s="2633">
        <f t="shared" si="126"/>
        <v>281.10342338870947</v>
      </c>
      <c r="F49" s="2633">
        <f t="shared" si="126"/>
        <v>168.97309388942256</v>
      </c>
      <c r="G49" s="3438">
        <v>2009</v>
      </c>
      <c r="H49" s="2623">
        <v>1</v>
      </c>
      <c r="I49" s="2623">
        <v>-2.64</v>
      </c>
      <c r="J49" s="2623">
        <v>-2.5299999999999998</v>
      </c>
      <c r="K49" s="2623">
        <v>-3.02</v>
      </c>
      <c r="L49" s="2634">
        <v>1.52</v>
      </c>
      <c r="N49" s="2636">
        <f t="shared" si="111"/>
        <v>-2.64E-2</v>
      </c>
      <c r="O49" s="2637">
        <f t="shared" si="111"/>
        <v>-2.53E-2</v>
      </c>
      <c r="P49" s="2637">
        <f t="shared" si="111"/>
        <v>-3.0200000000000001E-2</v>
      </c>
      <c r="Q49" s="2637">
        <f t="shared" si="111"/>
        <v>1.52E-2</v>
      </c>
      <c r="R49" s="2630"/>
      <c r="S49" s="2636">
        <f>B49/B50-1</f>
        <v>-2.4137638417038754E-2</v>
      </c>
      <c r="T49" s="2637">
        <f>C49/C50-1</f>
        <v>-2.248773845264096E-2</v>
      </c>
      <c r="U49" s="2637">
        <f>E49/E50-1</f>
        <v>-2.7323794502735366E-2</v>
      </c>
      <c r="V49" s="2637">
        <f>F49/F50-1</f>
        <v>1.7910204153148035E-2</v>
      </c>
      <c r="X49" s="2638"/>
      <c r="Y49" s="2638"/>
      <c r="Z49" s="2638"/>
    </row>
    <row r="50" spans="1:26" ht="13.5" thickBot="1">
      <c r="A50" s="2620" t="s">
        <v>2598</v>
      </c>
      <c r="B50" s="2663">
        <v>214</v>
      </c>
      <c r="C50" s="2663">
        <v>188</v>
      </c>
      <c r="D50" s="2663">
        <f t="shared" si="109"/>
        <v>188</v>
      </c>
      <c r="E50" s="2663">
        <v>289</v>
      </c>
      <c r="F50" s="2664">
        <v>166</v>
      </c>
      <c r="G50" s="3437">
        <v>2008</v>
      </c>
      <c r="H50" s="2639">
        <v>4</v>
      </c>
      <c r="I50" s="2639">
        <v>1.73</v>
      </c>
      <c r="J50" s="2639">
        <v>0.03</v>
      </c>
      <c r="K50" s="2639">
        <v>2.59</v>
      </c>
      <c r="L50" s="2640">
        <v>-1.66</v>
      </c>
      <c r="N50" s="2628">
        <f t="shared" si="111"/>
        <v>1.7299999999999999E-2</v>
      </c>
      <c r="O50" s="2629">
        <f t="shared" si="111"/>
        <v>2.9999999999999997E-4</v>
      </c>
      <c r="P50" s="2629">
        <f t="shared" si="111"/>
        <v>2.5899999999999999E-2</v>
      </c>
      <c r="Q50" s="2629">
        <f t="shared" si="111"/>
        <v>-1.66E-2</v>
      </c>
      <c r="R50" s="2630"/>
      <c r="S50" s="2631"/>
      <c r="T50" s="2632"/>
      <c r="U50" s="2632"/>
      <c r="V50" s="2632"/>
      <c r="X50" s="2632"/>
      <c r="Y50" s="2632"/>
      <c r="Z50" s="2632"/>
    </row>
    <row r="51" spans="1:26">
      <c r="A51" s="2620" t="s">
        <v>2599</v>
      </c>
      <c r="B51" s="2633">
        <f t="shared" ref="B51:C53" si="127">B50/(1+N50)</f>
        <v>210.36075887152265</v>
      </c>
      <c r="C51" s="2633">
        <f t="shared" si="127"/>
        <v>187.94361691492554</v>
      </c>
      <c r="D51" s="2633">
        <f t="shared" si="109"/>
        <v>187.94361691492554</v>
      </c>
      <c r="E51" s="2633">
        <f t="shared" ref="E51:F53" si="128">E50/(1+P50)</f>
        <v>281.70386977288234</v>
      </c>
      <c r="F51" s="2633">
        <f t="shared" si="128"/>
        <v>168.80211511083994</v>
      </c>
      <c r="G51" s="3435">
        <v>2008</v>
      </c>
      <c r="H51" s="2644">
        <v>3</v>
      </c>
      <c r="I51" s="2644">
        <v>1.96</v>
      </c>
      <c r="J51" s="2644">
        <v>2.36</v>
      </c>
      <c r="K51" s="2644">
        <v>1.82</v>
      </c>
      <c r="L51" s="2645">
        <v>2.2200000000000002</v>
      </c>
      <c r="N51" s="2628">
        <f t="shared" si="111"/>
        <v>1.9599999999999999E-2</v>
      </c>
      <c r="O51" s="2629">
        <f t="shared" si="111"/>
        <v>2.3599999999999999E-2</v>
      </c>
      <c r="P51" s="2629">
        <f t="shared" si="111"/>
        <v>1.8200000000000001E-2</v>
      </c>
      <c r="Q51" s="2629">
        <f t="shared" si="111"/>
        <v>2.2200000000000001E-2</v>
      </c>
      <c r="R51" s="2630"/>
      <c r="S51" s="2628"/>
      <c r="T51" s="2629"/>
      <c r="U51" s="2629"/>
      <c r="V51" s="2629"/>
    </row>
    <row r="52" spans="1:26">
      <c r="A52" s="2620" t="s">
        <v>2600</v>
      </c>
      <c r="B52" s="2633">
        <f t="shared" si="127"/>
        <v>206.31694671589116</v>
      </c>
      <c r="C52" s="2633">
        <f t="shared" si="127"/>
        <v>183.61041121036101</v>
      </c>
      <c r="D52" s="2633">
        <f t="shared" si="109"/>
        <v>183.61041121036101</v>
      </c>
      <c r="E52" s="2633">
        <f t="shared" si="128"/>
        <v>276.66850301795557</v>
      </c>
      <c r="F52" s="2633">
        <f t="shared" si="128"/>
        <v>165.1360938278614</v>
      </c>
      <c r="G52" s="3435">
        <v>2008</v>
      </c>
      <c r="H52" s="2624">
        <v>2</v>
      </c>
      <c r="I52" s="2624">
        <v>4.93</v>
      </c>
      <c r="J52" s="2624">
        <v>7.38</v>
      </c>
      <c r="K52" s="2624">
        <v>3.98</v>
      </c>
      <c r="L52" s="2635">
        <v>6.86</v>
      </c>
      <c r="N52" s="2628">
        <f t="shared" si="111"/>
        <v>4.9299999999999997E-2</v>
      </c>
      <c r="O52" s="2629">
        <f t="shared" si="111"/>
        <v>7.3800000000000004E-2</v>
      </c>
      <c r="P52" s="2629">
        <f t="shared" si="111"/>
        <v>3.9800000000000002E-2</v>
      </c>
      <c r="Q52" s="2629">
        <f t="shared" si="111"/>
        <v>6.8600000000000008E-2</v>
      </c>
      <c r="R52" s="2630"/>
      <c r="S52" s="2628"/>
      <c r="T52" s="2629"/>
      <c r="U52" s="2629"/>
      <c r="V52" s="2629"/>
    </row>
    <row r="53" spans="1:26" s="2669" customFormat="1" ht="13.5" thickBot="1">
      <c r="A53" s="2620" t="s">
        <v>2601</v>
      </c>
      <c r="B53" s="2666">
        <f t="shared" si="127"/>
        <v>196.62341248059772</v>
      </c>
      <c r="C53" s="2666">
        <f t="shared" si="127"/>
        <v>170.99125648199012</v>
      </c>
      <c r="D53" s="2666">
        <f t="shared" si="109"/>
        <v>170.99125648199012</v>
      </c>
      <c r="E53" s="2666">
        <f t="shared" si="128"/>
        <v>266.07857570490052</v>
      </c>
      <c r="F53" s="2666">
        <f t="shared" si="128"/>
        <v>154.53499328828505</v>
      </c>
      <c r="G53" s="3438">
        <v>2008</v>
      </c>
      <c r="H53" s="2667">
        <v>1</v>
      </c>
      <c r="I53" s="2667">
        <v>4.1399999999999997</v>
      </c>
      <c r="J53" s="2667">
        <v>3.45</v>
      </c>
      <c r="K53" s="2667">
        <v>4.95</v>
      </c>
      <c r="L53" s="2668">
        <v>4.82</v>
      </c>
      <c r="N53" s="2670">
        <f t="shared" si="111"/>
        <v>4.1399999999999999E-2</v>
      </c>
      <c r="O53" s="2671">
        <f t="shared" si="111"/>
        <v>3.4500000000000003E-2</v>
      </c>
      <c r="P53" s="2671">
        <f t="shared" si="111"/>
        <v>4.9500000000000002E-2</v>
      </c>
      <c r="Q53" s="2671">
        <f t="shared" si="111"/>
        <v>4.82E-2</v>
      </c>
      <c r="R53" s="2672"/>
      <c r="S53" s="2670">
        <f>B53/B54-1</f>
        <v>4.5869215322328349E-2</v>
      </c>
      <c r="T53" s="2671">
        <f>C53/C54-1</f>
        <v>3.6310645345394743E-2</v>
      </c>
      <c r="U53" s="2671">
        <f>E53/E54-1</f>
        <v>4.7553447657088688E-2</v>
      </c>
      <c r="V53" s="2671">
        <f>F53/F54-1</f>
        <v>4.4155360055980086E-2</v>
      </c>
      <c r="X53" s="2673"/>
      <c r="Y53" s="2673"/>
      <c r="Z53" s="2673"/>
    </row>
    <row r="54" spans="1:26" ht="13.5" thickBot="1">
      <c r="A54" s="2620" t="s">
        <v>2602</v>
      </c>
      <c r="B54" s="2625">
        <v>188</v>
      </c>
      <c r="C54" s="2625">
        <v>165</v>
      </c>
      <c r="D54" s="2625">
        <f t="shared" si="109"/>
        <v>165</v>
      </c>
      <c r="E54" s="2625">
        <v>254</v>
      </c>
      <c r="F54" s="2626">
        <v>148</v>
      </c>
      <c r="G54" s="3437">
        <v>2007</v>
      </c>
      <c r="H54" s="2674">
        <v>4</v>
      </c>
      <c r="I54" s="2674">
        <v>5.51</v>
      </c>
      <c r="J54" s="2674">
        <v>4.8899999999999997</v>
      </c>
      <c r="K54" s="2674">
        <v>6.43</v>
      </c>
      <c r="L54" s="2675">
        <v>5.36</v>
      </c>
      <c r="N54" s="2676">
        <f t="shared" ref="N54:O57" si="129">B54/B55-1</f>
        <v>4.1339718365245526E-2</v>
      </c>
      <c r="O54" s="2677">
        <f t="shared" si="129"/>
        <v>4.0324492593776018E-2</v>
      </c>
      <c r="P54" s="2677">
        <f t="shared" ref="P54:Q57" si="130">E54/E55-1</f>
        <v>6.1625555347990968E-2</v>
      </c>
      <c r="Q54" s="2677">
        <f t="shared" si="130"/>
        <v>4.6757569250590603E-2</v>
      </c>
      <c r="R54" s="2630"/>
      <c r="S54" s="2631"/>
      <c r="T54" s="2632"/>
      <c r="U54" s="2632"/>
      <c r="V54" s="2632"/>
      <c r="X54" s="2632"/>
      <c r="Y54" s="2632"/>
      <c r="Z54" s="2632"/>
    </row>
    <row r="55" spans="1:26">
      <c r="A55" s="2620" t="s">
        <v>2603</v>
      </c>
      <c r="B55" s="2633">
        <f t="shared" ref="B55:C57" si="131">B56+(B$54-B$58)*I55/SUM(I$54:I$57)</f>
        <v>180.5366651097618</v>
      </c>
      <c r="C55" s="2633">
        <f t="shared" si="131"/>
        <v>158.60435967302453</v>
      </c>
      <c r="D55" s="2633">
        <f t="shared" si="109"/>
        <v>158.60435967302453</v>
      </c>
      <c r="E55" s="2633">
        <f t="shared" ref="E55:F57" si="132">E56+(E$54-E$58)*K55/SUM(K$54:K$57)</f>
        <v>239.25573260785075</v>
      </c>
      <c r="F55" s="2633">
        <f t="shared" si="132"/>
        <v>141.38899430740037</v>
      </c>
      <c r="G55" s="3435">
        <v>2007</v>
      </c>
      <c r="H55" s="2644">
        <v>3</v>
      </c>
      <c r="I55" s="2644">
        <v>8.65</v>
      </c>
      <c r="J55" s="2644">
        <v>8.06</v>
      </c>
      <c r="K55" s="2644">
        <v>9.94</v>
      </c>
      <c r="L55" s="2645">
        <v>5.8</v>
      </c>
      <c r="N55" s="2676">
        <f t="shared" si="129"/>
        <v>6.940217571740015E-2</v>
      </c>
      <c r="O55" s="2677">
        <f t="shared" si="129"/>
        <v>7.1197482471153428E-2</v>
      </c>
      <c r="P55" s="2677">
        <f t="shared" si="130"/>
        <v>0.10529679922579582</v>
      </c>
      <c r="Q55" s="2677">
        <f t="shared" si="130"/>
        <v>5.3292245059512133E-2</v>
      </c>
      <c r="R55" s="2630"/>
      <c r="S55" s="2628"/>
      <c r="T55" s="2629"/>
      <c r="U55" s="2629"/>
      <c r="V55" s="2629"/>
      <c r="X55" s="2678"/>
      <c r="Y55" s="2678"/>
      <c r="Z55" s="2678"/>
    </row>
    <row r="56" spans="1:26">
      <c r="A56" s="2620" t="s">
        <v>2604</v>
      </c>
      <c r="B56" s="2633">
        <f t="shared" si="131"/>
        <v>168.82017748715555</v>
      </c>
      <c r="C56" s="2633">
        <f t="shared" si="131"/>
        <v>148.06267029972753</v>
      </c>
      <c r="D56" s="2633">
        <f t="shared" si="109"/>
        <v>148.06267029972753</v>
      </c>
      <c r="E56" s="2633">
        <f t="shared" si="132"/>
        <v>216.46288379323747</v>
      </c>
      <c r="F56" s="2633">
        <f t="shared" si="132"/>
        <v>134.23529411764704</v>
      </c>
      <c r="G56" s="3435">
        <v>2007</v>
      </c>
      <c r="H56" s="2624">
        <v>2</v>
      </c>
      <c r="I56" s="2624">
        <v>3.67</v>
      </c>
      <c r="J56" s="2624">
        <v>2.3199999999999998</v>
      </c>
      <c r="K56" s="2624">
        <v>5.0199999999999996</v>
      </c>
      <c r="L56" s="2635">
        <v>6.71</v>
      </c>
      <c r="N56" s="2676">
        <f t="shared" si="129"/>
        <v>3.0339138143848032E-2</v>
      </c>
      <c r="O56" s="2677">
        <f t="shared" si="129"/>
        <v>2.0922341588790472E-2</v>
      </c>
      <c r="P56" s="2677">
        <f t="shared" si="130"/>
        <v>5.6164796592717003E-2</v>
      </c>
      <c r="Q56" s="2677">
        <f t="shared" si="130"/>
        <v>6.5704536723887319E-2</v>
      </c>
      <c r="R56" s="2630"/>
      <c r="S56" s="2628"/>
      <c r="T56" s="2629"/>
      <c r="U56" s="2629"/>
      <c r="V56" s="2629"/>
      <c r="X56" s="2678"/>
      <c r="Y56" s="2678"/>
      <c r="Z56" s="2678"/>
    </row>
    <row r="57" spans="1:26">
      <c r="A57" s="2620" t="s">
        <v>2605</v>
      </c>
      <c r="B57" s="2633">
        <f t="shared" si="131"/>
        <v>163.84913591779542</v>
      </c>
      <c r="C57" s="2633">
        <f t="shared" si="131"/>
        <v>145.0283378746594</v>
      </c>
      <c r="D57" s="2633">
        <f t="shared" si="109"/>
        <v>145.0283378746594</v>
      </c>
      <c r="E57" s="2633">
        <f t="shared" si="132"/>
        <v>204.95180722891567</v>
      </c>
      <c r="F57" s="2633">
        <f t="shared" si="132"/>
        <v>125.95920303605313</v>
      </c>
      <c r="G57" s="3438">
        <v>2007</v>
      </c>
      <c r="H57" s="2623">
        <v>1</v>
      </c>
      <c r="I57" s="2623">
        <v>3.58</v>
      </c>
      <c r="J57" s="2623">
        <v>3.08</v>
      </c>
      <c r="K57" s="2623">
        <v>4.34</v>
      </c>
      <c r="L57" s="2634">
        <v>3.21</v>
      </c>
      <c r="N57" s="2679">
        <f t="shared" si="129"/>
        <v>3.0497710174814063E-2</v>
      </c>
      <c r="O57" s="2680">
        <f t="shared" si="129"/>
        <v>2.8569772160704998E-2</v>
      </c>
      <c r="P57" s="2680">
        <f t="shared" si="130"/>
        <v>5.1034908866234296E-2</v>
      </c>
      <c r="Q57" s="2680">
        <f t="shared" si="130"/>
        <v>3.245248390207478E-2</v>
      </c>
      <c r="R57" s="2630"/>
      <c r="S57" s="2636">
        <f>B57/B58-1</f>
        <v>3.0497710174814063E-2</v>
      </c>
      <c r="T57" s="2637">
        <f>C57/C58-1</f>
        <v>2.8569772160704998E-2</v>
      </c>
      <c r="U57" s="2637">
        <f>E57/E58-1</f>
        <v>5.1034908866234296E-2</v>
      </c>
      <c r="V57" s="2637">
        <f>F57/F58-1</f>
        <v>3.245248390207478E-2</v>
      </c>
      <c r="X57" s="2678"/>
      <c r="Y57" s="2678"/>
      <c r="Z57" s="2678"/>
    </row>
    <row r="58" spans="1:26" ht="13.5" thickBot="1">
      <c r="A58" s="2620" t="s">
        <v>2606</v>
      </c>
      <c r="B58" s="2647">
        <v>159</v>
      </c>
      <c r="C58" s="2647">
        <v>141</v>
      </c>
      <c r="D58" s="2647">
        <f t="shared" si="109"/>
        <v>141</v>
      </c>
      <c r="E58" s="2647">
        <v>195</v>
      </c>
      <c r="F58" s="2648">
        <v>122</v>
      </c>
      <c r="G58" s="3437">
        <v>2006</v>
      </c>
      <c r="H58" s="2639">
        <v>4</v>
      </c>
      <c r="I58" s="2639">
        <v>3.79</v>
      </c>
      <c r="J58" s="2639">
        <v>2.21</v>
      </c>
      <c r="K58" s="2639">
        <v>5.65</v>
      </c>
      <c r="L58" s="2640">
        <v>5.41</v>
      </c>
      <c r="N58" s="2676">
        <f t="shared" ref="N58:O61" si="133">I58/SUM(I$58:I$61)*(B$58/B$62-1)</f>
        <v>7.245466462748526E-2</v>
      </c>
      <c r="O58" s="2677">
        <f t="shared" si="133"/>
        <v>2.3237230038062766E-2</v>
      </c>
      <c r="P58" s="2677">
        <f t="shared" ref="P58:Q61" si="134">K58/SUM(K$58:K$61)*(E$58/E$62-1)</f>
        <v>0.16146893866323722</v>
      </c>
      <c r="Q58" s="2677">
        <f t="shared" si="134"/>
        <v>5.0755230321793784E-2</v>
      </c>
      <c r="R58" s="2630"/>
      <c r="S58" s="2631"/>
      <c r="T58" s="2632"/>
      <c r="U58" s="2632"/>
      <c r="V58" s="2632"/>
      <c r="X58" s="2678"/>
      <c r="Y58" s="2678"/>
      <c r="Z58" s="2678"/>
    </row>
    <row r="59" spans="1:26">
      <c r="A59" s="2620" t="s">
        <v>2607</v>
      </c>
      <c r="B59" s="2633">
        <f t="shared" ref="B59:C61" si="135">B60+(B$58-B$62)*I59/SUM(I$58:I$61)</f>
        <v>149.00125628140702</v>
      </c>
      <c r="C59" s="2633">
        <f t="shared" si="135"/>
        <v>137.95592286501378</v>
      </c>
      <c r="D59" s="2633">
        <f t="shared" si="109"/>
        <v>137.95592286501378</v>
      </c>
      <c r="E59" s="2633">
        <f t="shared" ref="E59:F61" si="136">E60+(E$58-E$62)*K59/SUM(K$58:K$61)</f>
        <v>169.97231450719823</v>
      </c>
      <c r="F59" s="2633">
        <f t="shared" si="136"/>
        <v>116.21390374331551</v>
      </c>
      <c r="G59" s="3435">
        <v>2006</v>
      </c>
      <c r="H59" s="2644">
        <v>3</v>
      </c>
      <c r="I59" s="2644">
        <v>0.92</v>
      </c>
      <c r="J59" s="2644">
        <v>1.08</v>
      </c>
      <c r="K59" s="2644">
        <v>0.73</v>
      </c>
      <c r="L59" s="2645">
        <v>1.08</v>
      </c>
      <c r="N59" s="2676">
        <f t="shared" si="133"/>
        <v>1.7587939698492462E-2</v>
      </c>
      <c r="O59" s="2677">
        <f t="shared" si="133"/>
        <v>1.1355750425840628E-2</v>
      </c>
      <c r="P59" s="2677">
        <f t="shared" si="134"/>
        <v>2.0862358446754544E-2</v>
      </c>
      <c r="Q59" s="2677">
        <f t="shared" si="134"/>
        <v>1.0132282578103011E-2</v>
      </c>
      <c r="R59" s="2630"/>
      <c r="S59" s="2628"/>
      <c r="T59" s="2629"/>
      <c r="U59" s="2629"/>
      <c r="V59" s="2629"/>
      <c r="X59" s="2678"/>
      <c r="Y59" s="2678"/>
      <c r="Z59" s="2678"/>
    </row>
    <row r="60" spans="1:26">
      <c r="A60" s="2620" t="s">
        <v>2608</v>
      </c>
      <c r="B60" s="2633">
        <f t="shared" si="135"/>
        <v>146.57412060301507</v>
      </c>
      <c r="C60" s="2633">
        <f t="shared" si="135"/>
        <v>136.46831955922866</v>
      </c>
      <c r="D60" s="2633">
        <f t="shared" si="109"/>
        <v>136.46831955922866</v>
      </c>
      <c r="E60" s="2633">
        <f t="shared" si="136"/>
        <v>166.73864894795128</v>
      </c>
      <c r="F60" s="2633">
        <f t="shared" si="136"/>
        <v>115.05882352941177</v>
      </c>
      <c r="G60" s="3435">
        <v>2006</v>
      </c>
      <c r="H60" s="2624">
        <v>2</v>
      </c>
      <c r="I60" s="2624">
        <v>0.96</v>
      </c>
      <c r="J60" s="2624">
        <v>0.25</v>
      </c>
      <c r="K60" s="2624">
        <v>1.9</v>
      </c>
      <c r="L60" s="2635">
        <v>0.95</v>
      </c>
      <c r="N60" s="2676">
        <f t="shared" si="133"/>
        <v>1.8352632728861701E-2</v>
      </c>
      <c r="O60" s="2677">
        <f t="shared" si="133"/>
        <v>2.6286459319075526E-3</v>
      </c>
      <c r="P60" s="2677">
        <f t="shared" si="134"/>
        <v>5.4299289107991269E-2</v>
      </c>
      <c r="Q60" s="2677">
        <f t="shared" si="134"/>
        <v>8.9126559714794995E-3</v>
      </c>
      <c r="R60" s="2630"/>
      <c r="S60" s="2628"/>
      <c r="T60" s="2629"/>
      <c r="U60" s="2629"/>
      <c r="V60" s="2629"/>
      <c r="X60" s="2678"/>
      <c r="Y60" s="2678"/>
      <c r="Z60" s="2678"/>
    </row>
    <row r="61" spans="1:26">
      <c r="A61" s="2620" t="s">
        <v>2609</v>
      </c>
      <c r="B61" s="2633">
        <f t="shared" si="135"/>
        <v>144.04145728643215</v>
      </c>
      <c r="C61" s="2633">
        <f t="shared" si="135"/>
        <v>136.12396694214877</v>
      </c>
      <c r="D61" s="2633">
        <f t="shared" si="109"/>
        <v>136.12396694214877</v>
      </c>
      <c r="E61" s="2633">
        <f t="shared" si="136"/>
        <v>158.32225913621264</v>
      </c>
      <c r="F61" s="2633">
        <f t="shared" si="136"/>
        <v>114.04278074866311</v>
      </c>
      <c r="G61" s="3438">
        <v>2006</v>
      </c>
      <c r="H61" s="2623">
        <v>1</v>
      </c>
      <c r="I61" s="2623">
        <v>2.29</v>
      </c>
      <c r="J61" s="2623">
        <v>3.72</v>
      </c>
      <c r="K61" s="2623">
        <v>0.75</v>
      </c>
      <c r="L61" s="2634">
        <v>0.04</v>
      </c>
      <c r="N61" s="2679">
        <f t="shared" si="133"/>
        <v>4.3778675988638847E-2</v>
      </c>
      <c r="O61" s="2680">
        <f t="shared" si="133"/>
        <v>3.9114251466784385E-2</v>
      </c>
      <c r="P61" s="2680">
        <f t="shared" si="134"/>
        <v>2.1433929911049188E-2</v>
      </c>
      <c r="Q61" s="2680">
        <f t="shared" si="134"/>
        <v>3.7526972511492629E-4</v>
      </c>
      <c r="R61" s="2630"/>
      <c r="S61" s="2636">
        <f>B61/B62-1</f>
        <v>4.3778675988638716E-2</v>
      </c>
      <c r="T61" s="2637">
        <f>C61/C62-1</f>
        <v>3.91142514667846E-2</v>
      </c>
      <c r="U61" s="2637">
        <f>E61/E62-1</f>
        <v>2.143392991104931E-2</v>
      </c>
      <c r="V61" s="2637">
        <f>F61/F62-1</f>
        <v>3.7526972511492396E-4</v>
      </c>
      <c r="X61" s="2678"/>
      <c r="Y61" s="2678"/>
      <c r="Z61" s="2678"/>
    </row>
    <row r="62" spans="1:26" ht="13.5" thickBot="1">
      <c r="A62" s="2620" t="s">
        <v>2610</v>
      </c>
      <c r="B62" s="2647">
        <v>138</v>
      </c>
      <c r="C62" s="2647">
        <v>131</v>
      </c>
      <c r="D62" s="2647">
        <f t="shared" si="109"/>
        <v>131</v>
      </c>
      <c r="E62" s="2647">
        <v>155</v>
      </c>
      <c r="F62" s="2648">
        <v>114</v>
      </c>
      <c r="G62" s="3437">
        <v>2005</v>
      </c>
      <c r="H62" s="2639">
        <v>4</v>
      </c>
      <c r="I62" s="2639">
        <v>3.29</v>
      </c>
      <c r="J62" s="2639">
        <v>1.44</v>
      </c>
      <c r="K62" s="2639">
        <v>0.66</v>
      </c>
      <c r="L62" s="2640">
        <v>7.78</v>
      </c>
      <c r="N62" s="2676">
        <f t="shared" ref="N62:O65" si="137">I62/SUM(I$62:I$65)*(B$62/B$66-1)</f>
        <v>9.9404603216919935E-2</v>
      </c>
      <c r="O62" s="2677">
        <f t="shared" si="137"/>
        <v>4.7636550760861554E-2</v>
      </c>
      <c r="P62" s="2677">
        <f t="shared" ref="P62:Q65" si="138">K62/SUM(K$62:K$65)*(E$62/E$66-1)</f>
        <v>8.3756345177664976E-2</v>
      </c>
      <c r="Q62" s="2677">
        <f t="shared" si="138"/>
        <v>5.2148766661559584E-2</v>
      </c>
      <c r="R62" s="2630"/>
      <c r="S62" s="2631"/>
      <c r="T62" s="2632"/>
      <c r="U62" s="2632"/>
      <c r="V62" s="2632"/>
      <c r="X62" s="2678"/>
      <c r="Y62" s="2678"/>
      <c r="Z62" s="2678"/>
    </row>
    <row r="63" spans="1:26">
      <c r="A63" s="2620" t="s">
        <v>2611</v>
      </c>
      <c r="B63" s="2633">
        <f t="shared" ref="B63:C65" si="139">B64+(B$62-B$66)*I63/SUM(I$62:I$65)</f>
        <v>125.9720430107527</v>
      </c>
      <c r="C63" s="2633">
        <f t="shared" si="139"/>
        <v>125.1883408071749</v>
      </c>
      <c r="D63" s="2633">
        <f t="shared" si="109"/>
        <v>125.1883408071749</v>
      </c>
      <c r="E63" s="2633">
        <f t="shared" ref="E63:F65" si="140">E64+(E$62-E$66)*K63/SUM(K$62:K$65)</f>
        <v>144.61421319796952</v>
      </c>
      <c r="F63" s="2633">
        <f t="shared" si="140"/>
        <v>108.42008196721311</v>
      </c>
      <c r="G63" s="3435">
        <v>2005</v>
      </c>
      <c r="H63" s="2644">
        <v>3</v>
      </c>
      <c r="I63" s="2644">
        <v>0.46</v>
      </c>
      <c r="J63" s="2644">
        <v>0.32</v>
      </c>
      <c r="K63" s="2644">
        <v>0.42</v>
      </c>
      <c r="L63" s="2645">
        <v>0.64</v>
      </c>
      <c r="N63" s="2676">
        <f t="shared" si="137"/>
        <v>1.3898515951301874E-2</v>
      </c>
      <c r="O63" s="2677">
        <f t="shared" si="137"/>
        <v>1.0585900169080346E-2</v>
      </c>
      <c r="P63" s="2677">
        <f t="shared" si="138"/>
        <v>5.3299492385786795E-2</v>
      </c>
      <c r="Q63" s="2677">
        <f t="shared" si="138"/>
        <v>4.2898728359123568E-3</v>
      </c>
      <c r="R63" s="2630"/>
      <c r="S63" s="2628"/>
      <c r="T63" s="2629"/>
      <c r="U63" s="2629"/>
      <c r="V63" s="2629"/>
      <c r="X63" s="2678"/>
      <c r="Y63" s="2678"/>
      <c r="Z63" s="2678"/>
    </row>
    <row r="64" spans="1:26">
      <c r="A64" s="2620" t="s">
        <v>2612</v>
      </c>
      <c r="B64" s="2633">
        <f t="shared" si="139"/>
        <v>124.29032258064517</v>
      </c>
      <c r="C64" s="2633">
        <f t="shared" si="139"/>
        <v>123.8968609865471</v>
      </c>
      <c r="D64" s="2633">
        <f t="shared" si="109"/>
        <v>123.8968609865471</v>
      </c>
      <c r="E64" s="2633">
        <f t="shared" si="140"/>
        <v>138.00507614213197</v>
      </c>
      <c r="F64" s="2633">
        <f t="shared" si="140"/>
        <v>107.96106557377048</v>
      </c>
      <c r="G64" s="3435">
        <v>2005</v>
      </c>
      <c r="H64" s="2624">
        <v>2</v>
      </c>
      <c r="I64" s="2624">
        <v>0.47</v>
      </c>
      <c r="J64" s="2624">
        <v>0.1</v>
      </c>
      <c r="K64" s="2624">
        <v>0.52</v>
      </c>
      <c r="L64" s="2635">
        <v>0.79</v>
      </c>
      <c r="N64" s="2676">
        <f t="shared" si="137"/>
        <v>1.420065760241713E-2</v>
      </c>
      <c r="O64" s="2677">
        <f t="shared" si="137"/>
        <v>3.3080938028376083E-3</v>
      </c>
      <c r="P64" s="2677">
        <f t="shared" si="138"/>
        <v>6.598984771573603E-2</v>
      </c>
      <c r="Q64" s="2677">
        <f t="shared" si="138"/>
        <v>5.2953117818293153E-3</v>
      </c>
      <c r="R64" s="2630"/>
      <c r="S64" s="2628"/>
      <c r="T64" s="2629"/>
      <c r="U64" s="2629"/>
      <c r="V64" s="2629"/>
      <c r="X64" s="2678"/>
      <c r="Y64" s="2678"/>
      <c r="Z64" s="2678"/>
    </row>
    <row r="65" spans="1:26">
      <c r="A65" s="2620" t="s">
        <v>2613</v>
      </c>
      <c r="B65" s="2633">
        <f t="shared" si="139"/>
        <v>122.57204301075269</v>
      </c>
      <c r="C65" s="2633">
        <f t="shared" si="139"/>
        <v>123.4932735426009</v>
      </c>
      <c r="D65" s="2633">
        <f t="shared" si="109"/>
        <v>123.4932735426009</v>
      </c>
      <c r="E65" s="2633">
        <f t="shared" si="140"/>
        <v>129.82233502538071</v>
      </c>
      <c r="F65" s="2633">
        <f t="shared" si="140"/>
        <v>107.39446721311475</v>
      </c>
      <c r="G65" s="3438">
        <v>2005</v>
      </c>
      <c r="H65" s="2623">
        <v>1</v>
      </c>
      <c r="I65" s="2623">
        <v>0.43</v>
      </c>
      <c r="J65" s="2623">
        <v>0.37</v>
      </c>
      <c r="K65" s="2623">
        <v>0.37</v>
      </c>
      <c r="L65" s="2634">
        <v>0.55000000000000004</v>
      </c>
      <c r="N65" s="2679">
        <f t="shared" si="137"/>
        <v>1.2992090997956099E-2</v>
      </c>
      <c r="O65" s="2680">
        <f t="shared" si="137"/>
        <v>1.2239947070499151E-2</v>
      </c>
      <c r="P65" s="2680">
        <f t="shared" si="138"/>
        <v>4.6954314720812178E-2</v>
      </c>
      <c r="Q65" s="2680">
        <f t="shared" si="138"/>
        <v>3.6866094683621815E-3</v>
      </c>
      <c r="R65" s="2630"/>
      <c r="S65" s="2636">
        <f>B65/B66-1</f>
        <v>1.2992090997956174E-2</v>
      </c>
      <c r="T65" s="2637">
        <f>C65/C66-1</f>
        <v>1.2239947070499246E-2</v>
      </c>
      <c r="U65" s="2637">
        <f>E65/E66-1</f>
        <v>4.695431472081224E-2</v>
      </c>
      <c r="V65" s="2637">
        <f>F65/F66-1</f>
        <v>3.6866094683620787E-3</v>
      </c>
      <c r="X65" s="2678"/>
      <c r="Y65" s="2678"/>
      <c r="Z65" s="2678"/>
    </row>
    <row r="66" spans="1:26" ht="13.5" thickBot="1">
      <c r="A66" s="2620" t="s">
        <v>2614</v>
      </c>
      <c r="B66" s="2663">
        <v>121</v>
      </c>
      <c r="C66" s="2663">
        <v>122</v>
      </c>
      <c r="D66" s="2663">
        <f t="shared" si="109"/>
        <v>122</v>
      </c>
      <c r="E66" s="2663">
        <v>124</v>
      </c>
      <c r="F66" s="2664">
        <v>107</v>
      </c>
      <c r="G66" s="3437">
        <v>2004</v>
      </c>
      <c r="H66" s="2639">
        <v>4</v>
      </c>
      <c r="I66" s="2639">
        <v>0.33</v>
      </c>
      <c r="J66" s="2639">
        <v>0.5</v>
      </c>
      <c r="K66" s="2639">
        <v>0.5</v>
      </c>
      <c r="L66" s="2640">
        <v>0</v>
      </c>
      <c r="N66" s="2676">
        <f t="shared" ref="N66:O69" si="141">I66/SUM(I$66:I$69)*(B$66/B$70-1)</f>
        <v>1.3391770148526898E-2</v>
      </c>
      <c r="O66" s="2677">
        <f t="shared" si="141"/>
        <v>1.063264221158958E-2</v>
      </c>
      <c r="P66" s="2677">
        <f t="shared" ref="P66:Q69" si="142">K66/SUM(K$66:K$69)*(E$66/E$70-1)</f>
        <v>2.2244466688911134E-2</v>
      </c>
      <c r="Q66" s="2677">
        <f t="shared" si="142"/>
        <v>0</v>
      </c>
      <c r="R66" s="2630"/>
      <c r="S66" s="2631"/>
      <c r="T66" s="2632"/>
      <c r="U66" s="2632"/>
      <c r="V66" s="2632"/>
      <c r="X66" s="2678"/>
      <c r="Y66" s="2678"/>
      <c r="Z66" s="2678"/>
    </row>
    <row r="67" spans="1:26">
      <c r="A67" s="2620" t="s">
        <v>2615</v>
      </c>
      <c r="B67" s="2633">
        <f t="shared" ref="B67:C69" si="143">B68+(B$66-B$70)*I67/SUM(I$66:I$69)</f>
        <v>119.51351351351352</v>
      </c>
      <c r="C67" s="2633">
        <f t="shared" si="143"/>
        <v>120.7878787878788</v>
      </c>
      <c r="D67" s="2633">
        <f t="shared" si="109"/>
        <v>120.7878787878788</v>
      </c>
      <c r="E67" s="2633">
        <f t="shared" ref="E67:F69" si="144">E68+(E$66-E$70)*K67/SUM(K$66:K$69)</f>
        <v>121.5975975975976</v>
      </c>
      <c r="F67" s="2633">
        <f t="shared" si="144"/>
        <v>107</v>
      </c>
      <c r="G67" s="3435">
        <v>2004</v>
      </c>
      <c r="H67" s="2644">
        <v>3</v>
      </c>
      <c r="I67" s="2644">
        <v>0.56000000000000005</v>
      </c>
      <c r="J67" s="2644">
        <v>0.8</v>
      </c>
      <c r="K67" s="2644">
        <v>0.83</v>
      </c>
      <c r="L67" s="2645">
        <v>0.06</v>
      </c>
      <c r="N67" s="2676">
        <f t="shared" si="141"/>
        <v>2.2725428130833527E-2</v>
      </c>
      <c r="O67" s="2677">
        <f t="shared" si="141"/>
        <v>1.7012227538543329E-2</v>
      </c>
      <c r="P67" s="2677">
        <f t="shared" si="142"/>
        <v>3.6925814703592477E-2</v>
      </c>
      <c r="Q67" s="2677">
        <f t="shared" si="142"/>
        <v>2.8846153846153744E-2</v>
      </c>
      <c r="R67" s="2630"/>
      <c r="S67" s="2628"/>
      <c r="T67" s="2629"/>
      <c r="U67" s="2629"/>
      <c r="V67" s="2629"/>
      <c r="X67" s="2678"/>
      <c r="Y67" s="2678"/>
      <c r="Z67" s="2678"/>
    </row>
    <row r="68" spans="1:26">
      <c r="A68" s="2620" t="s">
        <v>2616</v>
      </c>
      <c r="B68" s="2633">
        <f t="shared" si="143"/>
        <v>116.99099099099099</v>
      </c>
      <c r="C68" s="2633">
        <f t="shared" si="143"/>
        <v>118.84848484848486</v>
      </c>
      <c r="D68" s="2633">
        <f t="shared" si="109"/>
        <v>118.84848484848486</v>
      </c>
      <c r="E68" s="2633">
        <f t="shared" si="144"/>
        <v>117.60960960960961</v>
      </c>
      <c r="F68" s="2633">
        <f t="shared" si="144"/>
        <v>104</v>
      </c>
      <c r="G68" s="3435">
        <v>2004</v>
      </c>
      <c r="H68" s="2624">
        <v>2</v>
      </c>
      <c r="I68" s="2624">
        <v>1</v>
      </c>
      <c r="J68" s="2624">
        <v>1.5</v>
      </c>
      <c r="K68" s="2624">
        <v>1.5</v>
      </c>
      <c r="L68" s="2635">
        <v>0</v>
      </c>
      <c r="N68" s="2676">
        <f t="shared" si="141"/>
        <v>4.0581121662202721E-2</v>
      </c>
      <c r="O68" s="2677">
        <f t="shared" si="141"/>
        <v>3.1897926634768738E-2</v>
      </c>
      <c r="P68" s="2677">
        <f t="shared" si="142"/>
        <v>6.6733400066733395E-2</v>
      </c>
      <c r="Q68" s="2677">
        <f t="shared" si="142"/>
        <v>0</v>
      </c>
      <c r="R68" s="2630"/>
      <c r="S68" s="2628"/>
      <c r="T68" s="2629"/>
      <c r="U68" s="2629"/>
      <c r="V68" s="2629"/>
      <c r="X68" s="2678"/>
      <c r="Y68" s="2678"/>
      <c r="Z68" s="2678"/>
    </row>
    <row r="69" spans="1:26" s="2669" customFormat="1" ht="13.5" thickBot="1">
      <c r="A69" s="2620" t="s">
        <v>2617</v>
      </c>
      <c r="B69" s="2666">
        <f t="shared" si="143"/>
        <v>112.48648648648648</v>
      </c>
      <c r="C69" s="2666">
        <f t="shared" si="143"/>
        <v>115.21212121212122</v>
      </c>
      <c r="D69" s="2666">
        <f t="shared" si="109"/>
        <v>115.21212121212122</v>
      </c>
      <c r="E69" s="2666">
        <f t="shared" si="144"/>
        <v>110.4024024024024</v>
      </c>
      <c r="F69" s="2666">
        <f t="shared" si="144"/>
        <v>104</v>
      </c>
      <c r="G69" s="3438">
        <v>2004</v>
      </c>
      <c r="H69" s="2667">
        <v>1</v>
      </c>
      <c r="I69" s="2667">
        <v>0.33</v>
      </c>
      <c r="J69" s="2667">
        <v>0.5</v>
      </c>
      <c r="K69" s="2667">
        <v>0.5</v>
      </c>
      <c r="L69" s="2668">
        <v>0</v>
      </c>
      <c r="N69" s="2681">
        <f t="shared" si="141"/>
        <v>1.3391770148526898E-2</v>
      </c>
      <c r="O69" s="2682">
        <f t="shared" si="141"/>
        <v>1.063264221158958E-2</v>
      </c>
      <c r="P69" s="2682">
        <f t="shared" si="142"/>
        <v>2.2244466688911134E-2</v>
      </c>
      <c r="Q69" s="2682">
        <f t="shared" si="142"/>
        <v>0</v>
      </c>
      <c r="R69" s="2672"/>
      <c r="S69" s="2670">
        <f>B69/B70-1</f>
        <v>1.3391770148526883E-2</v>
      </c>
      <c r="T69" s="2671">
        <f>C69/C70-1</f>
        <v>1.063264221158966E-2</v>
      </c>
      <c r="U69" s="2671">
        <f>E69/E70-1</f>
        <v>2.2244466688911224E-2</v>
      </c>
      <c r="V69" s="2671">
        <f>F69/F70-1</f>
        <v>0</v>
      </c>
      <c r="X69" s="2683"/>
      <c r="Y69" s="2683"/>
      <c r="Z69" s="2683"/>
    </row>
    <row r="70" spans="1:26" ht="13.5" thickBot="1">
      <c r="A70" s="2620" t="s">
        <v>2618</v>
      </c>
      <c r="B70" s="2684">
        <v>111</v>
      </c>
      <c r="C70" s="2684">
        <v>114</v>
      </c>
      <c r="D70" s="2684">
        <f t="shared" si="109"/>
        <v>114</v>
      </c>
      <c r="E70" s="2684">
        <v>108</v>
      </c>
      <c r="F70" s="2685">
        <v>104</v>
      </c>
      <c r="G70" s="3437">
        <v>2003</v>
      </c>
      <c r="H70" s="2674">
        <v>4</v>
      </c>
      <c r="I70" s="2686"/>
      <c r="J70" s="2686"/>
      <c r="K70" s="2686"/>
      <c r="L70" s="2686"/>
      <c r="N70" s="2687"/>
      <c r="O70" s="2686"/>
      <c r="P70" s="2686"/>
      <c r="Q70" s="2686"/>
      <c r="S70" s="2687"/>
      <c r="T70" s="2686"/>
      <c r="U70" s="2686"/>
      <c r="V70" s="2686"/>
      <c r="X70" s="2678"/>
      <c r="Y70" s="2678"/>
      <c r="Z70" s="2678"/>
    </row>
    <row r="71" spans="1:26">
      <c r="A71" s="2620" t="s">
        <v>2619</v>
      </c>
      <c r="B71" s="2688">
        <f t="shared" ref="B71:C73" si="145">B72+(B$70-B$74)/4</f>
        <v>109.75</v>
      </c>
      <c r="C71" s="2688">
        <f t="shared" si="145"/>
        <v>112.25</v>
      </c>
      <c r="D71" s="2688">
        <f t="shared" si="109"/>
        <v>112.25</v>
      </c>
      <c r="E71" s="2688">
        <f t="shared" ref="E71:F73" si="146">E72+(E$70-E$74)/4</f>
        <v>107.25</v>
      </c>
      <c r="F71" s="2688">
        <f t="shared" si="146"/>
        <v>103.5</v>
      </c>
      <c r="G71" s="3435">
        <v>2003</v>
      </c>
      <c r="H71" s="2644">
        <v>3</v>
      </c>
      <c r="I71" s="2686"/>
      <c r="J71" s="2686"/>
      <c r="K71" s="2686"/>
      <c r="L71" s="2686"/>
      <c r="X71" s="2678"/>
      <c r="Y71" s="2678"/>
      <c r="Z71" s="2678"/>
    </row>
    <row r="72" spans="1:26">
      <c r="A72" s="2620" t="s">
        <v>2620</v>
      </c>
      <c r="B72" s="2688">
        <f t="shared" si="145"/>
        <v>108.5</v>
      </c>
      <c r="C72" s="2688">
        <f t="shared" si="145"/>
        <v>110.5</v>
      </c>
      <c r="D72" s="2688">
        <f t="shared" si="109"/>
        <v>110.5</v>
      </c>
      <c r="E72" s="2688">
        <f t="shared" si="146"/>
        <v>106.5</v>
      </c>
      <c r="F72" s="2688">
        <f t="shared" si="146"/>
        <v>103</v>
      </c>
      <c r="G72" s="3435">
        <v>2003</v>
      </c>
      <c r="H72" s="2624">
        <v>2</v>
      </c>
      <c r="I72" s="2686"/>
      <c r="J72" s="2686"/>
      <c r="K72" s="2686"/>
      <c r="L72" s="2686"/>
      <c r="X72" s="2678"/>
      <c r="Y72" s="2678"/>
      <c r="Z72" s="2678"/>
    </row>
    <row r="73" spans="1:26" ht="13.5" thickBot="1">
      <c r="A73" s="2620" t="s">
        <v>2621</v>
      </c>
      <c r="B73" s="2688">
        <f t="shared" si="145"/>
        <v>107.25</v>
      </c>
      <c r="C73" s="2688">
        <f t="shared" si="145"/>
        <v>108.75</v>
      </c>
      <c r="D73" s="2688">
        <f t="shared" si="109"/>
        <v>108.75</v>
      </c>
      <c r="E73" s="2688">
        <f t="shared" si="146"/>
        <v>105.75</v>
      </c>
      <c r="F73" s="2688">
        <f t="shared" si="146"/>
        <v>102.5</v>
      </c>
      <c r="G73" s="3438">
        <v>2003</v>
      </c>
      <c r="H73" s="2689">
        <v>1</v>
      </c>
      <c r="I73" s="2686"/>
      <c r="J73" s="2686"/>
      <c r="K73" s="2686"/>
      <c r="L73" s="2686"/>
      <c r="S73" s="2628"/>
      <c r="T73" s="2629"/>
      <c r="U73" s="2629"/>
      <c r="X73" s="2678"/>
      <c r="Y73" s="2678"/>
      <c r="Z73" s="2678"/>
    </row>
    <row r="74" spans="1:26" ht="13.5" thickBot="1">
      <c r="A74" s="2620" t="s">
        <v>2622</v>
      </c>
      <c r="B74" s="2690">
        <v>106</v>
      </c>
      <c r="C74" s="2690">
        <v>107</v>
      </c>
      <c r="D74" s="2690">
        <f t="shared" si="109"/>
        <v>107</v>
      </c>
      <c r="E74" s="2690">
        <v>105</v>
      </c>
      <c r="F74" s="2691">
        <v>102</v>
      </c>
      <c r="G74" s="3437">
        <v>2002</v>
      </c>
      <c r="H74" s="2639">
        <v>4</v>
      </c>
      <c r="I74" s="2686"/>
      <c r="J74" s="2686"/>
      <c r="K74" s="2686"/>
      <c r="L74" s="2686"/>
      <c r="N74" s="2687"/>
      <c r="O74" s="2686"/>
      <c r="P74" s="2686"/>
      <c r="Q74" s="2686"/>
      <c r="S74" s="2687"/>
      <c r="T74" s="2686"/>
      <c r="U74" s="2686"/>
      <c r="V74" s="2686"/>
      <c r="X74" s="2678"/>
      <c r="Y74" s="2678"/>
      <c r="Z74" s="2678"/>
    </row>
    <row r="75" spans="1:26">
      <c r="A75" s="2620" t="s">
        <v>2623</v>
      </c>
      <c r="B75" s="2688">
        <f t="shared" ref="B75:C77" si="147">B76+(B$74-B$78)/4</f>
        <v>105</v>
      </c>
      <c r="C75" s="2688">
        <f t="shared" si="147"/>
        <v>106</v>
      </c>
      <c r="D75" s="2688">
        <f t="shared" si="109"/>
        <v>106</v>
      </c>
      <c r="E75" s="2688">
        <f t="shared" ref="E75:F77" si="148">E76+(E$74-E$78)/4</f>
        <v>104.5</v>
      </c>
      <c r="F75" s="2688">
        <f t="shared" si="148"/>
        <v>101.5</v>
      </c>
      <c r="G75" s="3435">
        <v>2002</v>
      </c>
      <c r="H75" s="2644">
        <v>3</v>
      </c>
      <c r="I75" s="2686"/>
      <c r="J75" s="2686"/>
      <c r="K75" s="2686"/>
      <c r="L75" s="2686"/>
      <c r="X75" s="2678"/>
      <c r="Y75" s="2678"/>
      <c r="Z75" s="2678"/>
    </row>
    <row r="76" spans="1:26">
      <c r="A76" s="2620" t="s">
        <v>2624</v>
      </c>
      <c r="B76" s="2688">
        <f t="shared" si="147"/>
        <v>104</v>
      </c>
      <c r="C76" s="2688">
        <f t="shared" si="147"/>
        <v>105</v>
      </c>
      <c r="D76" s="2688">
        <f t="shared" si="109"/>
        <v>105</v>
      </c>
      <c r="E76" s="2688">
        <f t="shared" si="148"/>
        <v>104</v>
      </c>
      <c r="F76" s="2688">
        <f t="shared" si="148"/>
        <v>101</v>
      </c>
      <c r="G76" s="3435">
        <v>2002</v>
      </c>
      <c r="H76" s="2624">
        <v>2</v>
      </c>
      <c r="I76" s="2686"/>
      <c r="J76" s="2686"/>
      <c r="K76" s="2686"/>
      <c r="L76" s="2686"/>
      <c r="X76" s="2678"/>
      <c r="Y76" s="2678"/>
      <c r="Z76" s="2678"/>
    </row>
    <row r="77" spans="1:26" s="2655" customFormat="1" ht="13.5" thickBot="1">
      <c r="A77" s="2651" t="s">
        <v>2625</v>
      </c>
      <c r="B77" s="2692">
        <f t="shared" si="147"/>
        <v>103</v>
      </c>
      <c r="C77" s="2692">
        <f t="shared" si="147"/>
        <v>104</v>
      </c>
      <c r="D77" s="2692">
        <f t="shared" si="109"/>
        <v>104</v>
      </c>
      <c r="E77" s="2692">
        <f t="shared" si="148"/>
        <v>103.5</v>
      </c>
      <c r="F77" s="2692">
        <f t="shared" si="148"/>
        <v>100.5</v>
      </c>
      <c r="G77" s="3438">
        <v>2002</v>
      </c>
      <c r="H77" s="2693">
        <v>1</v>
      </c>
      <c r="I77" s="2694"/>
      <c r="J77" s="2694"/>
      <c r="K77" s="2694"/>
      <c r="L77" s="2694"/>
      <c r="N77" s="2695"/>
      <c r="S77" s="2695"/>
      <c r="X77" s="2696"/>
      <c r="Y77" s="2696"/>
      <c r="Z77" s="2696"/>
    </row>
    <row r="78" spans="1:26" ht="13.5" thickBot="1">
      <c r="B78" s="2697">
        <v>102</v>
      </c>
      <c r="C78" s="2698">
        <v>103</v>
      </c>
      <c r="D78" s="2698">
        <f t="shared" si="109"/>
        <v>103</v>
      </c>
      <c r="E78" s="2698">
        <v>103</v>
      </c>
      <c r="F78" s="2699">
        <v>100</v>
      </c>
      <c r="I78" s="2686"/>
      <c r="J78" s="2686"/>
      <c r="K78" s="2686"/>
      <c r="L78" s="2686"/>
      <c r="N78" s="2687"/>
      <c r="O78" s="2686"/>
      <c r="P78" s="2686"/>
      <c r="Q78" s="2686"/>
      <c r="S78" s="2687"/>
      <c r="T78" s="2686"/>
      <c r="U78" s="2686"/>
      <c r="V78" s="2686"/>
      <c r="X78" s="2632"/>
      <c r="Y78" s="2632"/>
      <c r="Z78" s="2632"/>
    </row>
    <row r="80" spans="1:26" s="2701" customFormat="1">
      <c r="A80" s="2700" t="s">
        <v>2626</v>
      </c>
      <c r="G80" s="2702"/>
      <c r="N80" s="2702"/>
      <c r="S80" s="2702"/>
    </row>
    <row r="81" spans="1:22" s="2701" customFormat="1">
      <c r="A81" s="2701" t="s">
        <v>2627</v>
      </c>
      <c r="G81" s="2702"/>
      <c r="N81" s="2702"/>
      <c r="S81" s="2702"/>
    </row>
    <row r="82" spans="1:22" s="2701" customFormat="1">
      <c r="A82" s="2701" t="s">
        <v>2628</v>
      </c>
      <c r="G82" s="2702"/>
      <c r="I82" s="2703"/>
      <c r="J82" s="2703"/>
      <c r="K82" s="2703"/>
      <c r="L82" s="2703"/>
      <c r="N82" s="2704"/>
      <c r="O82" s="2703"/>
      <c r="P82" s="2703"/>
      <c r="Q82" s="2703"/>
      <c r="S82" s="2704"/>
      <c r="T82" s="2703"/>
      <c r="U82" s="2703"/>
      <c r="V82" s="2703"/>
    </row>
    <row r="83" spans="1:22" s="2701" customFormat="1">
      <c r="A83" s="2701" t="s">
        <v>2629</v>
      </c>
      <c r="G83" s="2702"/>
      <c r="N83" s="2702"/>
      <c r="S83" s="2702"/>
    </row>
    <row r="90" spans="1:22" ht="13.5" thickBot="1"/>
    <row r="91" spans="1:22">
      <c r="G91" s="2627"/>
      <c r="S91" s="2705" t="s">
        <v>2630</v>
      </c>
      <c r="T91" s="2706" t="s">
        <v>2631</v>
      </c>
      <c r="U91" s="2706" t="s">
        <v>2632</v>
      </c>
      <c r="V91" s="2706" t="s">
        <v>2633</v>
      </c>
    </row>
    <row r="92" spans="1:22">
      <c r="G92" s="2627"/>
      <c r="N92" s="2631"/>
      <c r="O92" s="2632"/>
      <c r="P92" s="2632"/>
      <c r="Q92" s="2632"/>
      <c r="S92" s="2707">
        <v>2006</v>
      </c>
      <c r="T92" s="2708">
        <v>15.1</v>
      </c>
      <c r="U92" s="2708">
        <v>7.43</v>
      </c>
      <c r="V92" s="2708">
        <v>26.26</v>
      </c>
    </row>
    <row r="93" spans="1:22">
      <c r="G93" s="2627"/>
      <c r="N93" s="2631"/>
      <c r="O93" s="2632"/>
      <c r="P93" s="2632"/>
      <c r="Q93" s="2632"/>
      <c r="S93" s="2710">
        <v>2005</v>
      </c>
      <c r="T93" s="2709">
        <v>13.9</v>
      </c>
      <c r="U93" s="2709">
        <v>7.49</v>
      </c>
      <c r="V93" s="2709">
        <v>24.92</v>
      </c>
    </row>
    <row r="94" spans="1:22">
      <c r="G94" s="2627"/>
      <c r="N94" s="2631"/>
      <c r="O94" s="2632"/>
      <c r="P94" s="2632"/>
      <c r="Q94" s="2632"/>
      <c r="S94" s="2707">
        <v>2004</v>
      </c>
      <c r="T94" s="2708">
        <v>9.48</v>
      </c>
      <c r="U94" s="2708">
        <v>7.2</v>
      </c>
      <c r="V94" s="2708">
        <v>14.68</v>
      </c>
    </row>
    <row r="95" spans="1:22">
      <c r="G95" s="2627"/>
      <c r="N95" s="2631"/>
      <c r="O95" s="2632"/>
      <c r="P95" s="2632"/>
      <c r="Q95" s="2632"/>
      <c r="S95" s="2710">
        <v>2003</v>
      </c>
      <c r="T95" s="2709">
        <v>4.5</v>
      </c>
      <c r="U95" s="2709">
        <v>6.12</v>
      </c>
      <c r="V95" s="2709">
        <v>2.34</v>
      </c>
    </row>
    <row r="96" spans="1:22" ht="13.5" thickBot="1">
      <c r="G96" s="2627"/>
      <c r="N96" s="2631"/>
      <c r="O96" s="2632"/>
      <c r="P96" s="2632"/>
      <c r="Q96" s="2632"/>
      <c r="S96" s="2711">
        <v>2002</v>
      </c>
      <c r="T96" s="2712">
        <v>3.59</v>
      </c>
      <c r="U96" s="2712">
        <v>4.54</v>
      </c>
      <c r="V96" s="2712">
        <v>2.5499999999999998</v>
      </c>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row>
    <row r="106" spans="7:19">
      <c r="G106" s="2627"/>
      <c r="N106" s="2631"/>
      <c r="O106" s="2632"/>
      <c r="P106" s="2632"/>
      <c r="Q106" s="2632"/>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row r="111" spans="7:19">
      <c r="G111" s="2627"/>
      <c r="N111" s="2631"/>
      <c r="O111" s="2632"/>
      <c r="P111" s="2632"/>
      <c r="Q111" s="2632"/>
      <c r="S111" s="2627"/>
    </row>
    <row r="112" spans="7:19">
      <c r="G112" s="2627"/>
      <c r="N112" s="2631"/>
      <c r="O112" s="2632"/>
      <c r="P112" s="2632"/>
      <c r="Q112" s="2632"/>
      <c r="S112" s="2627"/>
    </row>
  </sheetData>
  <sheetProtection sheet="1" objects="1" scenarios="1" formatCells="0" formatColumns="0" formatRows="0"/>
  <mergeCells count="23">
    <mergeCell ref="X1:AB1"/>
    <mergeCell ref="B1:F1"/>
    <mergeCell ref="AD1:AH1"/>
    <mergeCell ref="G74:G77"/>
    <mergeCell ref="G1:L1"/>
    <mergeCell ref="N1:Q1"/>
    <mergeCell ref="S1:V1"/>
    <mergeCell ref="G50:G53"/>
    <mergeCell ref="G54:G57"/>
    <mergeCell ref="G58:G61"/>
    <mergeCell ref="G62:G65"/>
    <mergeCell ref="G66:G69"/>
    <mergeCell ref="G70:G73"/>
    <mergeCell ref="G26:G29"/>
    <mergeCell ref="G30:G33"/>
    <mergeCell ref="G34:G37"/>
    <mergeCell ref="G14:G17"/>
    <mergeCell ref="G10:G13"/>
    <mergeCell ref="G38:G41"/>
    <mergeCell ref="G42:G45"/>
    <mergeCell ref="G46:G49"/>
    <mergeCell ref="G18:G21"/>
    <mergeCell ref="G22:G25"/>
  </mergeCells>
  <phoneticPr fontId="228" type="noConversion"/>
  <pageMargins left="0.7" right="0.7" top="0.75" bottom="0.75" header="0.3" footer="0.3"/>
  <pageSetup paperSize="9" scale="75" orientation="landscape" r:id="rId1"/>
  <rowBreaks count="1" manualBreakCount="1">
    <brk id="53"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875" customWidth="1"/>
  </cols>
  <sheetData>
    <row r="1" spans="1:6" ht="20.25">
      <c r="A1" s="3056" t="s">
        <v>2944</v>
      </c>
      <c r="B1" s="3058"/>
      <c r="C1" s="3058"/>
      <c r="D1" s="3058"/>
      <c r="E1" s="3058"/>
      <c r="F1" s="3058"/>
    </row>
    <row r="2" spans="1:6" ht="14.25">
      <c r="A2" s="3059" t="s">
        <v>2939</v>
      </c>
      <c r="B2" s="3060" t="e">
        <f ca="1">SUMIF(B7:B14,"&lt;&gt;#ref!",B7:B14)</f>
        <v>#DIV/0!</v>
      </c>
      <c r="C2" s="3059" t="s">
        <v>2940</v>
      </c>
      <c r="D2" s="3058"/>
      <c r="E2" s="3058"/>
      <c r="F2" s="3058"/>
    </row>
    <row r="3" spans="1:6" ht="14.25">
      <c r="A3" s="3059" t="s">
        <v>2972</v>
      </c>
      <c r="B3" s="3060" t="e">
        <f ca="1">ROUND(B2*10000/E3,0)</f>
        <v>#DIV/0!</v>
      </c>
      <c r="C3" s="3059" t="s">
        <v>2075</v>
      </c>
      <c r="D3" s="3059" t="s">
        <v>2941</v>
      </c>
      <c r="E3" s="3060">
        <f ca="1">SUMIF(E7:E14,"&lt;&gt;#ref!",E7:E14)</f>
        <v>0</v>
      </c>
      <c r="F3" s="3058"/>
    </row>
    <row r="4" spans="1:6" ht="14.25">
      <c r="A4" s="3059" t="s">
        <v>2948</v>
      </c>
      <c r="B4" s="3060" t="e">
        <f ca="1">ROUND(B2*10000/E4,0)</f>
        <v>#DIV/0!</v>
      </c>
      <c r="C4" s="3059" t="s">
        <v>2075</v>
      </c>
      <c r="D4" s="3059" t="s">
        <v>2949</v>
      </c>
      <c r="E4" s="3060">
        <f ca="1">SUMIF(F7:F14,"&lt;&gt;#ref!",F7:F14)</f>
        <v>0</v>
      </c>
      <c r="F4" s="3058"/>
    </row>
    <row r="5" spans="1:6" ht="14.25">
      <c r="A5" s="3061"/>
      <c r="B5" s="1867"/>
      <c r="C5" s="1867"/>
      <c r="D5" s="1867"/>
      <c r="E5" s="1867"/>
      <c r="F5" s="3058"/>
    </row>
    <row r="6" spans="1:6" ht="28.5">
      <c r="A6" s="3062" t="s">
        <v>2945</v>
      </c>
      <c r="B6" s="3059" t="s">
        <v>2942</v>
      </c>
      <c r="C6" s="3060"/>
      <c r="D6" s="1867"/>
      <c r="E6" s="3059" t="s">
        <v>2943</v>
      </c>
      <c r="F6" s="3059" t="s">
        <v>2947</v>
      </c>
    </row>
    <row r="7" spans="1:6" ht="14.25">
      <c r="A7" s="260" t="s">
        <v>2946</v>
      </c>
      <c r="B7" s="3063" t="e">
        <f ca="1">SUMIF(INDIRECT("'"&amp;A7&amp;"'"&amp;"!A:A"),"总价",INDIRECT("'"&amp;A7&amp;"'"&amp;"!B:B"))</f>
        <v>#DIV/0!</v>
      </c>
      <c r="C7" s="3059" t="s">
        <v>2940</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2940</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2940</v>
      </c>
      <c r="D9" s="1867"/>
      <c r="E9" s="3064" t="e">
        <f t="shared" ca="1" si="1"/>
        <v>#REF!</v>
      </c>
      <c r="F9" s="3064" t="e">
        <f t="shared" ca="1" si="2"/>
        <v>#REF!</v>
      </c>
    </row>
    <row r="10" spans="1:6" ht="14.25">
      <c r="A10" s="260"/>
      <c r="B10" s="3063" t="e">
        <f t="shared" ca="1" si="0"/>
        <v>#REF!</v>
      </c>
      <c r="C10" s="3059" t="s">
        <v>2940</v>
      </c>
      <c r="D10" s="1867"/>
      <c r="E10" s="3064" t="e">
        <f t="shared" ca="1" si="1"/>
        <v>#REF!</v>
      </c>
      <c r="F10" s="3064" t="e">
        <f t="shared" ca="1" si="2"/>
        <v>#REF!</v>
      </c>
    </row>
    <row r="11" spans="1:6" ht="14.25">
      <c r="A11" s="260"/>
      <c r="B11" s="3063" t="e">
        <f t="shared" ca="1" si="0"/>
        <v>#REF!</v>
      </c>
      <c r="C11" s="3059" t="s">
        <v>2940</v>
      </c>
      <c r="D11" s="1867"/>
      <c r="E11" s="3064" t="e">
        <f t="shared" ca="1" si="1"/>
        <v>#REF!</v>
      </c>
      <c r="F11" s="3064" t="e">
        <f t="shared" ca="1" si="2"/>
        <v>#REF!</v>
      </c>
    </row>
    <row r="12" spans="1:6" ht="14.25">
      <c r="A12" s="260"/>
      <c r="B12" s="3063" t="e">
        <f t="shared" ca="1" si="0"/>
        <v>#REF!</v>
      </c>
      <c r="C12" s="3059" t="s">
        <v>2940</v>
      </c>
      <c r="D12" s="1867"/>
      <c r="E12" s="3064" t="e">
        <f t="shared" ca="1" si="1"/>
        <v>#REF!</v>
      </c>
      <c r="F12" s="3064" t="e">
        <f t="shared" ca="1" si="2"/>
        <v>#REF!</v>
      </c>
    </row>
    <row r="13" spans="1:6" ht="14.25">
      <c r="A13" s="260"/>
      <c r="B13" s="3063" t="e">
        <f t="shared" ca="1" si="0"/>
        <v>#REF!</v>
      </c>
      <c r="C13" s="3059" t="s">
        <v>2940</v>
      </c>
      <c r="D13" s="1867"/>
      <c r="E13" s="3064" t="e">
        <f t="shared" ca="1" si="1"/>
        <v>#REF!</v>
      </c>
      <c r="F13" s="3064" t="e">
        <f t="shared" ca="1" si="2"/>
        <v>#REF!</v>
      </c>
    </row>
    <row r="14" spans="1:6" ht="14.25">
      <c r="A14" s="3057"/>
      <c r="B14" s="3063" t="e">
        <f t="shared" ca="1" si="0"/>
        <v>#REF!</v>
      </c>
      <c r="C14" s="3059" t="s">
        <v>2940</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K18" sqref="K18"/>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875" style="2046" customWidth="1"/>
    <col min="6" max="6" width="10.625" style="2046" customWidth="1"/>
    <col min="7" max="7" width="4.875" style="2046" customWidth="1"/>
    <col min="8" max="8" width="8.5" style="2046" customWidth="1"/>
    <col min="9" max="9" width="21.125" style="2046" customWidth="1"/>
    <col min="10" max="10" width="12.1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125" style="2045" customWidth="1"/>
    <col min="17" max="17" width="13.875" style="2045" customWidth="1"/>
    <col min="18" max="18" width="22.125" style="2045" customWidth="1"/>
    <col min="19" max="19" width="1.5" style="2045" customWidth="1"/>
    <col min="20" max="25" width="9" style="2045"/>
    <col min="26" max="16384" width="9" style="2046"/>
  </cols>
  <sheetData>
    <row r="1" spans="1:25" s="2040" customFormat="1" ht="21">
      <c r="A1" s="772" t="s">
        <v>628</v>
      </c>
      <c r="B1" s="738"/>
      <c r="C1" s="773"/>
      <c r="D1" s="2036"/>
      <c r="E1" s="2352" t="s">
        <v>2371</v>
      </c>
      <c r="F1" s="2353">
        <f ca="1">J54</f>
        <v>-2</v>
      </c>
      <c r="G1" s="774">
        <f>MATCH(C1,'数据-取费表'!A6:A16,0)+5</f>
        <v>8</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2454</v>
      </c>
      <c r="C7" s="53">
        <f ca="1">C8+C12+C14</f>
        <v>0</v>
      </c>
      <c r="D7" s="2461" t="s">
        <v>2457</v>
      </c>
      <c r="E7" s="2455"/>
      <c r="F7" s="2456"/>
      <c r="G7" s="1579"/>
      <c r="H7" s="781">
        <v>1</v>
      </c>
      <c r="I7" s="782" t="s">
        <v>2454</v>
      </c>
      <c r="J7" s="53">
        <f ca="1">J8+J12+J14</f>
        <v>0</v>
      </c>
      <c r="K7" s="2461" t="s">
        <v>2457</v>
      </c>
      <c r="L7" s="2455"/>
      <c r="M7" s="2456"/>
    </row>
    <row r="8" spans="1:25" ht="18" customHeight="1">
      <c r="A8" s="1816" t="s">
        <v>1824</v>
      </c>
      <c r="B8" s="3446" t="s">
        <v>2459</v>
      </c>
      <c r="C8" s="1811">
        <f ca="1">ROUND(F8*F10*F9*(1-F11)/10000,0)</f>
        <v>0</v>
      </c>
      <c r="D8" s="1808" t="s">
        <v>2530</v>
      </c>
      <c r="E8" s="61" t="s">
        <v>637</v>
      </c>
      <c r="F8" s="785">
        <f ca="1">INDIRECT("'数据-取费表'!u"&amp;$G$1)</f>
        <v>0</v>
      </c>
      <c r="G8" s="1579"/>
      <c r="H8" s="2469" t="s">
        <v>1824</v>
      </c>
      <c r="I8" s="3446" t="s">
        <v>2459</v>
      </c>
      <c r="J8" s="783">
        <f ca="1">ROUND(M8*M10*M9*(1-M11)/10000,0)</f>
        <v>0</v>
      </c>
      <c r="K8" s="341" t="s">
        <v>2530</v>
      </c>
      <c r="L8" s="784" t="s">
        <v>1738</v>
      </c>
      <c r="M8" s="785">
        <f ca="1">INDIRECT("'数据-取费表'!z"&amp;$G$1)</f>
        <v>0</v>
      </c>
    </row>
    <row r="9" spans="1:25" ht="18" customHeight="1">
      <c r="A9" s="2465"/>
      <c r="B9" s="3447"/>
      <c r="C9" s="1812"/>
      <c r="D9" s="1809"/>
      <c r="E9" s="61" t="s">
        <v>638</v>
      </c>
      <c r="F9" s="785">
        <f ca="1">IF(INDIRECT("'数据-取费表'!ah"&amp;$G$1)="",INDIRECT("'数据-取费表'!k"&amp;$G$1),INDIRECT("'数据-取费表'!ah"&amp;$G$1))</f>
        <v>0</v>
      </c>
      <c r="G9" s="1579"/>
      <c r="H9" s="2454"/>
      <c r="I9" s="3447"/>
      <c r="J9" s="788"/>
      <c r="K9" s="789"/>
      <c r="L9" s="784" t="s">
        <v>1739</v>
      </c>
      <c r="M9" s="785">
        <f ca="1">F9</f>
        <v>0</v>
      </c>
    </row>
    <row r="10" spans="1:25" ht="18" customHeight="1">
      <c r="A10" s="2458"/>
      <c r="B10" s="3448"/>
      <c r="C10" s="1812"/>
      <c r="D10" s="1809"/>
      <c r="E10" s="61" t="s">
        <v>639</v>
      </c>
      <c r="F10" s="785">
        <f ca="1">INDIRECT("'数据-取费表'!ai"&amp;$G$1)</f>
        <v>0</v>
      </c>
      <c r="G10" s="1579"/>
      <c r="H10" s="2454"/>
      <c r="I10" s="3448"/>
      <c r="J10" s="788"/>
      <c r="K10" s="789"/>
      <c r="L10" s="784" t="s">
        <v>1740</v>
      </c>
      <c r="M10" s="785">
        <f ca="1">INDIRECT("'数据-取费表'!ai"&amp;$G$1)</f>
        <v>0</v>
      </c>
    </row>
    <row r="11" spans="1:25" ht="18" customHeight="1">
      <c r="A11" s="786"/>
      <c r="B11" s="3449"/>
      <c r="C11" s="1812"/>
      <c r="D11" s="1809"/>
      <c r="E11" s="61" t="s">
        <v>640</v>
      </c>
      <c r="F11" s="794">
        <f ca="1">INDIRECT("'数据-取费表'!w"&amp;$G$1)</f>
        <v>0</v>
      </c>
      <c r="G11" s="1579"/>
      <c r="H11" s="2470"/>
      <c r="I11" s="3448"/>
      <c r="J11" s="788"/>
      <c r="K11" s="789"/>
      <c r="L11" s="795" t="s">
        <v>1741</v>
      </c>
      <c r="M11" s="796">
        <f ca="1">INDIRECT("'数据-取费表'!ab"&amp;$G$1)</f>
        <v>0</v>
      </c>
    </row>
    <row r="12" spans="1:25" ht="18" customHeight="1">
      <c r="A12" s="1816" t="s">
        <v>1825</v>
      </c>
      <c r="B12" s="2459" t="s">
        <v>2455</v>
      </c>
      <c r="C12" s="799">
        <f ca="1">ROUND(IF(F12="押一",C8/12*F13,IF(F12="押二",C8/12*2*F13,IF(F12="押三",C8/12*3*F13,C13*F13))),0)</f>
        <v>0</v>
      </c>
      <c r="D12" s="2466" t="s">
        <v>2969</v>
      </c>
      <c r="E12" s="2463" t="s">
        <v>2460</v>
      </c>
      <c r="F12" s="2586"/>
      <c r="G12" s="1579"/>
      <c r="H12" s="2526" t="s">
        <v>1825</v>
      </c>
      <c r="I12" s="2531" t="s">
        <v>2455</v>
      </c>
      <c r="J12" s="783">
        <f ca="1">ROUND(IF(M12="押一",J8/12*M13,IF(M12="押二",J8/12*2*M13,IF(M12="押三",J8/12*3*M13,J13*M13))),0)</f>
        <v>0</v>
      </c>
      <c r="K12" s="2466" t="s">
        <v>2969</v>
      </c>
      <c r="L12" s="2463" t="s">
        <v>2460</v>
      </c>
      <c r="M12" s="2586"/>
    </row>
    <row r="13" spans="1:25" ht="18" customHeight="1">
      <c r="A13" s="790"/>
      <c r="B13" s="2460" t="s">
        <v>2569</v>
      </c>
      <c r="C13" s="2464"/>
      <c r="D13" s="789"/>
      <c r="E13" s="2463" t="s">
        <v>2452</v>
      </c>
      <c r="F13" s="796">
        <f ca="1">'数据-取费表'!B39</f>
        <v>1.4999999999999999E-2</v>
      </c>
      <c r="G13" s="1579"/>
      <c r="H13" s="2527"/>
      <c r="I13" s="2460" t="s">
        <v>2569</v>
      </c>
      <c r="J13" s="2464"/>
      <c r="K13" s="2528"/>
      <c r="L13" s="2463" t="s">
        <v>2452</v>
      </c>
      <c r="M13" s="2457">
        <f ca="1">'数据-取费表'!B39</f>
        <v>1.4999999999999999E-2</v>
      </c>
    </row>
    <row r="14" spans="1:25" ht="18" customHeight="1" thickBot="1">
      <c r="A14" s="2502" t="s">
        <v>2463</v>
      </c>
      <c r="B14" s="2503" t="s">
        <v>2456</v>
      </c>
      <c r="C14" s="2504"/>
      <c r="D14" s="2505"/>
      <c r="E14" s="2506"/>
      <c r="F14" s="2507"/>
      <c r="G14" s="1579"/>
      <c r="H14" s="2516" t="s">
        <v>2463</v>
      </c>
      <c r="I14" s="2529" t="s">
        <v>2456</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2066</v>
      </c>
      <c r="I16" s="2217" t="s">
        <v>2820</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2067</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2066</v>
      </c>
      <c r="I19" s="784" t="s">
        <v>656</v>
      </c>
      <c r="J19" s="53">
        <f ca="1">ROUND(IF(项目基本情况!B11="自然人",J8*M19/(1+'数据-取费表'!C42),J20+J21+J22),0)</f>
        <v>0</v>
      </c>
      <c r="K19" s="1965" t="s">
        <v>657</v>
      </c>
      <c r="L19" s="1963" t="s">
        <v>658</v>
      </c>
      <c r="M19" s="810" t="str">
        <f ca="1">IF(项目基本情况!B11="企业","",IF(INDIRECT("'数据-取费表'!c"&amp;$G$1)="住宅",5%,IF(M8*M9*M10/12/(1+'数据-取费表'!C42)&gt;20000,12%,7%)))</f>
        <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5.5000000000000007E-2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0.02</v>
      </c>
      <c r="G22" s="1580"/>
      <c r="H22" s="1818" t="s">
        <v>1850</v>
      </c>
      <c r="I22" s="1808" t="s">
        <v>668</v>
      </c>
      <c r="J22" s="54">
        <f ca="1">ROUND(M22*M23/10000,0)</f>
        <v>0</v>
      </c>
      <c r="K22" s="814" t="s">
        <v>669</v>
      </c>
      <c r="L22" s="784" t="s">
        <v>670</v>
      </c>
      <c r="M22" s="640">
        <f>'数据-取费表'!B52</f>
        <v>5</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2067</v>
      </c>
      <c r="I24" s="784" t="s">
        <v>676</v>
      </c>
      <c r="J24" s="53">
        <f ca="1">ROUND(J16*M24,0)</f>
        <v>0</v>
      </c>
      <c r="K24" s="1963" t="s">
        <v>677</v>
      </c>
      <c r="L24" s="784" t="s">
        <v>649</v>
      </c>
      <c r="M24" s="817">
        <f ca="1">INDIRECT("'数据-取费表'!Ak"&amp;$G$1)</f>
        <v>0</v>
      </c>
    </row>
    <row r="25" spans="1:25" s="2050" customFormat="1" ht="18" customHeight="1">
      <c r="A25" s="803" t="s">
        <v>1875</v>
      </c>
      <c r="B25" s="784" t="s">
        <v>2434</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1E-3</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2817</v>
      </c>
      <c r="J27" s="799">
        <f ca="1">J7-J18</f>
        <v>0</v>
      </c>
      <c r="K27" s="1965" t="s">
        <v>700</v>
      </c>
      <c r="L27" s="1967"/>
      <c r="M27" s="820"/>
    </row>
    <row r="28" spans="1:25" ht="18" customHeight="1">
      <c r="A28" s="803" t="s">
        <v>1875</v>
      </c>
      <c r="B28" s="784" t="s">
        <v>2435</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2818</v>
      </c>
      <c r="C31" s="2509">
        <f ca="1">ROUND((C21+C22+C25+C28)/(1-F23-C26-C29-C30),0)</f>
        <v>0</v>
      </c>
      <c r="D31" s="2510"/>
      <c r="E31" s="2511"/>
      <c r="F31" s="2512"/>
      <c r="G31" s="1580"/>
      <c r="H31" s="823" t="s">
        <v>1872</v>
      </c>
      <c r="I31" s="2965" t="s">
        <v>2819</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t="str">
        <f ca="1">IF(项目基本情况!B11="企业","",IF(INDIRECT("'数据-取费表'!c"&amp;$G$1)="住宅",5%,IF(F8*F9*F10/12/(1+'数据-取费表'!C42)&gt;20000,12%,7%)))</f>
        <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5.5000000000000007E-2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5</v>
      </c>
      <c r="G36" s="2048"/>
      <c r="H36" s="2051"/>
      <c r="I36" s="3445"/>
      <c r="J36" s="2065"/>
      <c r="K36" s="2066"/>
      <c r="L36" s="2065"/>
      <c r="M36" s="2065"/>
    </row>
    <row r="37" spans="1:18" ht="18" customHeight="1">
      <c r="A37" s="815"/>
      <c r="B37" s="793"/>
      <c r="C37" s="69"/>
      <c r="D37" s="816"/>
      <c r="E37" s="784" t="s">
        <v>674</v>
      </c>
      <c r="F37" s="785">
        <f ca="1">INDIRECT("'数据-取费表'!r"&amp;$G$1)</f>
        <v>0</v>
      </c>
      <c r="G37" s="2048"/>
      <c r="H37" s="2051"/>
      <c r="I37" s="3445"/>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2957</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2960</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2340</v>
      </c>
      <c r="J47" s="2344"/>
      <c r="K47" s="2345"/>
      <c r="L47" s="3109" t="str">
        <f ca="1">IF(M48="住宅",0,IF(L49&gt;J52,L61,J61))</f>
        <v>0</v>
      </c>
      <c r="O47" s="2359" t="s">
        <v>2407</v>
      </c>
      <c r="P47" s="1579"/>
      <c r="Q47" s="1590"/>
      <c r="R47" s="1579"/>
    </row>
    <row r="48" spans="1:18" s="2045" customFormat="1" ht="18" customHeight="1" thickBot="1">
      <c r="A48" s="2070"/>
      <c r="C48" s="2073"/>
      <c r="D48" s="2074"/>
      <c r="E48" s="2074"/>
      <c r="F48" s="2075"/>
      <c r="G48" s="2076"/>
      <c r="I48" s="3100" t="s">
        <v>2341</v>
      </c>
      <c r="J48" s="2346"/>
      <c r="K48" s="3106" t="s">
        <v>2346</v>
      </c>
      <c r="L48" s="3110">
        <f ca="1">INDIRECT("'数据-取费表'!d"&amp;$G$1)</f>
        <v>0</v>
      </c>
      <c r="M48" s="3074" t="str">
        <f>IF(ISNUMBER(FIND("住宅",C1)),"住宅","非住宅")</f>
        <v>非住宅</v>
      </c>
      <c r="O48" s="2360" t="s">
        <v>2372</v>
      </c>
      <c r="P48" s="2361" t="s">
        <v>2373</v>
      </c>
      <c r="Q48" s="2362" t="s">
        <v>2374</v>
      </c>
      <c r="R48" s="2361" t="s">
        <v>2375</v>
      </c>
    </row>
    <row r="49" spans="1:18" s="2045" customFormat="1" ht="18" customHeight="1" thickBot="1">
      <c r="A49" s="2070"/>
      <c r="D49" s="2077"/>
      <c r="E49" s="2078"/>
      <c r="F49" s="2075"/>
      <c r="G49" s="2076"/>
      <c r="H49" s="2079"/>
      <c r="I49" s="3079" t="s">
        <v>2342</v>
      </c>
      <c r="J49" s="2347"/>
      <c r="K49" s="3107" t="s">
        <v>2348</v>
      </c>
      <c r="L49" s="1894">
        <f ca="1">INDIRECT("'数据-取费表'!f"&amp;$G$1)</f>
        <v>0</v>
      </c>
      <c r="O49" s="2363" t="s">
        <v>2376</v>
      </c>
      <c r="P49" s="2364" t="s">
        <v>2402</v>
      </c>
      <c r="Q49" s="2365">
        <f ca="1">C41+J31</f>
        <v>0</v>
      </c>
      <c r="R49" s="2364" t="s">
        <v>2377</v>
      </c>
    </row>
    <row r="50" spans="1:18" s="2045" customFormat="1" ht="18" customHeight="1" thickBot="1">
      <c r="A50" s="2070"/>
      <c r="D50" s="2080"/>
      <c r="E50" s="2080"/>
      <c r="F50" s="2074"/>
      <c r="G50" s="2081"/>
      <c r="H50" s="2079"/>
      <c r="I50" s="3079" t="s">
        <v>2343</v>
      </c>
      <c r="J50" s="2348"/>
      <c r="K50" s="3108" t="s">
        <v>2349</v>
      </c>
      <c r="L50" s="2349"/>
      <c r="O50" s="2363" t="s">
        <v>2378</v>
      </c>
      <c r="P50" s="2364" t="s">
        <v>2403</v>
      </c>
      <c r="Q50" s="2365" t="str">
        <f ca="1">J61</f>
        <v>0</v>
      </c>
      <c r="R50" s="2364" t="s">
        <v>2379</v>
      </c>
    </row>
    <row r="51" spans="1:18" s="2045" customFormat="1" ht="18" customHeight="1" thickBot="1">
      <c r="A51" s="2082"/>
      <c r="D51" s="2080"/>
      <c r="E51" s="2080"/>
      <c r="F51" s="2071"/>
      <c r="H51" s="2079"/>
      <c r="I51" s="3079" t="s">
        <v>2344</v>
      </c>
      <c r="J51" s="3104">
        <f>SUMPRODUCT((I64:I66=J48)*(J63:L63=J49)*(J64:L66))</f>
        <v>0</v>
      </c>
      <c r="K51" s="3108" t="s">
        <v>2350</v>
      </c>
      <c r="L51" s="2349"/>
      <c r="O51" s="2366" t="s">
        <v>2380</v>
      </c>
      <c r="P51" s="2364" t="s">
        <v>2404</v>
      </c>
      <c r="Q51" s="2365">
        <f ca="1">C31</f>
        <v>0</v>
      </c>
      <c r="R51" s="2364" t="s">
        <v>2377</v>
      </c>
    </row>
    <row r="52" spans="1:18" s="2045" customFormat="1" ht="18" customHeight="1" thickBot="1">
      <c r="A52" s="2082"/>
      <c r="F52" s="2071"/>
      <c r="I52" s="3101" t="s">
        <v>2345</v>
      </c>
      <c r="J52" s="3105">
        <f>IF(J50="",J51,J50+J51-YEAR('数据-取费表'!B3))</f>
        <v>0</v>
      </c>
      <c r="K52" s="3079" t="s">
        <v>2351</v>
      </c>
      <c r="L52" s="3111">
        <f ca="1">ROUND(-PV(INDIRECT("'数据-取费表'!h"&amp;$G$1),L49,(C40-C14*J36),0),0)</f>
        <v>0</v>
      </c>
      <c r="O52" s="2366" t="s">
        <v>2381</v>
      </c>
      <c r="P52" s="2364" t="s">
        <v>2382</v>
      </c>
      <c r="Q52" s="2367" t="e">
        <f ca="1">J59</f>
        <v>#VALUE!</v>
      </c>
      <c r="R52" s="2368"/>
    </row>
    <row r="53" spans="1:18" s="2045" customFormat="1" ht="18" customHeight="1" thickBot="1">
      <c r="A53" s="2082"/>
      <c r="F53" s="2071"/>
      <c r="I53" s="3102" t="s">
        <v>2418</v>
      </c>
      <c r="J53" s="2350"/>
      <c r="K53" s="3102" t="s">
        <v>2417</v>
      </c>
      <c r="L53" s="2350"/>
      <c r="O53" s="2366" t="s">
        <v>2383</v>
      </c>
      <c r="P53" s="2364" t="s">
        <v>2384</v>
      </c>
      <c r="Q53" s="2367">
        <f>J53</f>
        <v>0</v>
      </c>
      <c r="R53" s="2368"/>
    </row>
    <row r="54" spans="1:18" s="2045" customFormat="1" ht="29.25" thickBot="1">
      <c r="A54" s="2082"/>
      <c r="I54" s="3103" t="s">
        <v>2973</v>
      </c>
      <c r="J54" s="3182">
        <f ca="1">IF(M48="住宅",MAX(J52,L49-'数据-取费表'!B20),MIN(J52,L49-'数据-取费表'!B20))</f>
        <v>-2</v>
      </c>
      <c r="K54" s="3450"/>
      <c r="L54" s="3451"/>
      <c r="O54" s="2366" t="s">
        <v>2385</v>
      </c>
      <c r="P54" s="2364" t="s">
        <v>2386</v>
      </c>
      <c r="Q54" s="2365">
        <f ca="1">J54</f>
        <v>-2</v>
      </c>
      <c r="R54" s="2364" t="s">
        <v>2387</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2388</v>
      </c>
      <c r="P55" s="2364" t="s">
        <v>2405</v>
      </c>
      <c r="Q55" s="2365">
        <f ca="1">Q49+Q50</f>
        <v>0</v>
      </c>
      <c r="R55" s="2368" t="s">
        <v>2389</v>
      </c>
    </row>
    <row r="56" spans="1:18" s="2045" customFormat="1" ht="16.5" thickBot="1">
      <c r="A56" s="2082"/>
      <c r="B56" s="2083"/>
      <c r="C56" s="2083"/>
      <c r="I56" s="3114" t="s">
        <v>2352</v>
      </c>
      <c r="J56" s="3054" t="e">
        <f ca="1">ROUND(IF(J48="钢混",J58/J51,1-(1-2%)*(J51-J58)/J51),3)</f>
        <v>#VALUE!</v>
      </c>
      <c r="K56" s="3115" t="s">
        <v>2353</v>
      </c>
      <c r="L56" s="2351"/>
      <c r="O56" s="2369" t="s">
        <v>2408</v>
      </c>
      <c r="P56" s="1579"/>
      <c r="Q56" s="1590"/>
      <c r="R56" s="1579"/>
    </row>
    <row r="57" spans="1:18" s="2045" customFormat="1" ht="43.5" thickBot="1">
      <c r="A57" s="2082"/>
      <c r="B57" s="2083"/>
      <c r="C57" s="2083"/>
      <c r="I57" s="3116" t="s">
        <v>2354</v>
      </c>
      <c r="J57" s="3126" t="s">
        <v>1678</v>
      </c>
      <c r="K57" s="3079" t="s">
        <v>2359</v>
      </c>
      <c r="L57" s="1894">
        <f ca="1">IF(L49&lt;J52,"——",L49-J52)</f>
        <v>0</v>
      </c>
      <c r="O57" s="2360" t="s">
        <v>2372</v>
      </c>
      <c r="P57" s="2361" t="s">
        <v>2373</v>
      </c>
      <c r="Q57" s="2362" t="s">
        <v>2374</v>
      </c>
      <c r="R57" s="2361" t="s">
        <v>2375</v>
      </c>
    </row>
    <row r="58" spans="1:18" s="2045" customFormat="1" ht="29.25" thickBot="1">
      <c r="A58" s="2082"/>
      <c r="B58" s="2083"/>
      <c r="C58" s="2083"/>
      <c r="I58" s="3117" t="s">
        <v>2355</v>
      </c>
      <c r="J58" s="3118" t="str">
        <f ca="1">IF(OR(M48="住宅",J52&lt;L49,J57="是"),"——",J52-L49)</f>
        <v>——</v>
      </c>
      <c r="K58" s="3079" t="s">
        <v>2360</v>
      </c>
      <c r="L58" s="1894">
        <f ca="1">IF(L49&lt;J52,"——",IF(L56="比较法",L50,IF(L56="基准地价",L51,L52)))</f>
        <v>0</v>
      </c>
      <c r="O58" s="2363" t="s">
        <v>2376</v>
      </c>
      <c r="P58" s="2364" t="s">
        <v>2402</v>
      </c>
      <c r="Q58" s="2365">
        <f ca="1">C41+J31</f>
        <v>0</v>
      </c>
      <c r="R58" s="2364" t="s">
        <v>2377</v>
      </c>
    </row>
    <row r="59" spans="1:18" s="2045" customFormat="1" ht="29.25" thickBot="1">
      <c r="A59" s="2082"/>
      <c r="B59" s="2083"/>
      <c r="C59" s="2083"/>
      <c r="I59" s="3117" t="s">
        <v>2356</v>
      </c>
      <c r="J59" s="3055" t="e">
        <f ca="1">IF(J56&lt;0.4,0.4,J56)</f>
        <v>#VALUE!</v>
      </c>
      <c r="K59" s="3079" t="s">
        <v>2361</v>
      </c>
      <c r="L59" s="1894">
        <f ca="1">IF(ISERROR(POWER(1+L53,L48-L49)*(POWER(1+L53,L49)-1)/(POWER(1+L53,L48)-1)),0,POWER(1+L53,L48-L49)*(POWER(1+L53,L49)-1)/(POWER(1+L53,L48)-1))</f>
        <v>0</v>
      </c>
      <c r="O59" s="2363" t="s">
        <v>2378</v>
      </c>
      <c r="P59" s="2364" t="s">
        <v>2409</v>
      </c>
      <c r="Q59" s="2365" t="e">
        <f ca="1">L61</f>
        <v>#DIV/0!</v>
      </c>
      <c r="R59" s="2368" t="s">
        <v>2411</v>
      </c>
    </row>
    <row r="60" spans="1:18" s="2045" customFormat="1" ht="29.25" thickBot="1">
      <c r="A60" s="2082"/>
      <c r="B60" s="2083"/>
      <c r="C60" s="2083"/>
      <c r="I60" s="3117" t="s">
        <v>2357</v>
      </c>
      <c r="J60" s="3118" t="str">
        <f ca="1">IF(OR(M48="住宅",J52&lt;L49,J57="是"),"——",ROUND(C30*J59,0))</f>
        <v>——</v>
      </c>
      <c r="K60" s="3079" t="s">
        <v>2362</v>
      </c>
      <c r="L60" s="1894">
        <f ca="1">IF(ISERROR(POWER(1+L53,L48-J52)*(POWER(1+L53,J52)-1)/(POWER(1+L53,L48)-1)),0,POWER(1+L53,L48-J52)*(POWER(1+L53,J52)-1)/(POWER(1+L53,L48)-1))</f>
        <v>0</v>
      </c>
      <c r="O60" s="2366" t="s">
        <v>2380</v>
      </c>
      <c r="P60" s="2364" t="s">
        <v>2410</v>
      </c>
      <c r="Q60" s="2365">
        <f>IF(L56="比较法",L50,IF(L56="基准地价",L51,0))</f>
        <v>0</v>
      </c>
      <c r="R60" s="2364" t="s">
        <v>2377</v>
      </c>
    </row>
    <row r="61" spans="1:18" s="2045" customFormat="1" ht="15.75" thickBot="1">
      <c r="A61" s="2082"/>
      <c r="B61" s="2083"/>
      <c r="C61" s="2083"/>
      <c r="I61" s="3119" t="s">
        <v>2358</v>
      </c>
      <c r="J61" s="3120" t="str">
        <f ca="1">IF(OR(M48="住宅",J52&lt;L49,J57="是"),"0",ROUND(J60/(1+J53)^J54,0))</f>
        <v>0</v>
      </c>
      <c r="K61" s="3121" t="s">
        <v>2363</v>
      </c>
      <c r="L61" s="3120" t="e">
        <f ca="1">IF(OR(M48="住宅",L49&lt;J52),0,ROUND(L58*(L59/L60-1),0))</f>
        <v>#DIV/0!</v>
      </c>
      <c r="O61" s="2366" t="s">
        <v>2381</v>
      </c>
      <c r="P61" s="2364" t="s">
        <v>2390</v>
      </c>
      <c r="Q61" s="2367">
        <f>L53</f>
        <v>0</v>
      </c>
      <c r="R61" s="2368"/>
    </row>
    <row r="62" spans="1:18" s="2045" customFormat="1" ht="20.25" thickBot="1">
      <c r="A62" s="2082"/>
      <c r="B62" s="2083"/>
      <c r="C62" s="2083"/>
      <c r="K62" s="2072"/>
      <c r="O62" s="2366" t="s">
        <v>2383</v>
      </c>
      <c r="P62" s="2364" t="s">
        <v>2391</v>
      </c>
      <c r="Q62" s="2365">
        <f ca="1">L59</f>
        <v>0</v>
      </c>
      <c r="R62" s="2368" t="s">
        <v>2392</v>
      </c>
    </row>
    <row r="63" spans="1:18" s="2045" customFormat="1" ht="20.25" thickBot="1">
      <c r="A63" s="2082"/>
      <c r="B63" s="2083"/>
      <c r="C63" s="2083"/>
      <c r="I63" s="3122" t="s">
        <v>2364</v>
      </c>
      <c r="J63" s="3123" t="s">
        <v>2365</v>
      </c>
      <c r="K63" s="3123" t="s">
        <v>2366</v>
      </c>
      <c r="L63" s="3123" t="s">
        <v>2347</v>
      </c>
      <c r="M63" s="3124" t="s">
        <v>2938</v>
      </c>
      <c r="O63" s="2366" t="s">
        <v>2385</v>
      </c>
      <c r="P63" s="2364" t="s">
        <v>2393</v>
      </c>
      <c r="Q63" s="2365">
        <f ca="1">L60</f>
        <v>0</v>
      </c>
      <c r="R63" s="2368" t="s">
        <v>2394</v>
      </c>
    </row>
    <row r="64" spans="1:18" s="2045" customFormat="1" ht="15.75" thickBot="1">
      <c r="A64" s="2082"/>
      <c r="B64" s="2083"/>
      <c r="C64" s="2083"/>
      <c r="I64" s="3122" t="s">
        <v>2367</v>
      </c>
      <c r="J64" s="3123">
        <v>70</v>
      </c>
      <c r="K64" s="3123">
        <v>50</v>
      </c>
      <c r="L64" s="3123">
        <v>80</v>
      </c>
      <c r="M64" s="3125">
        <v>0.02</v>
      </c>
      <c r="O64" s="2363" t="s">
        <v>2388</v>
      </c>
      <c r="P64" s="2364" t="s">
        <v>2405</v>
      </c>
      <c r="Q64" s="2365" t="e">
        <f ca="1">Q58+Q59</f>
        <v>#DIV/0!</v>
      </c>
      <c r="R64" s="2368" t="s">
        <v>2389</v>
      </c>
    </row>
    <row r="65" spans="1:18" s="2045" customFormat="1" ht="16.5" thickBot="1">
      <c r="A65" s="2082"/>
      <c r="B65" s="2083"/>
      <c r="C65" s="2083"/>
      <c r="I65" s="3122" t="s">
        <v>2368</v>
      </c>
      <c r="J65" s="3123">
        <v>50</v>
      </c>
      <c r="K65" s="3123">
        <v>35</v>
      </c>
      <c r="L65" s="3123">
        <v>60</v>
      </c>
      <c r="M65" s="846">
        <v>0</v>
      </c>
      <c r="O65" s="2369" t="s">
        <v>2412</v>
      </c>
      <c r="P65" s="1579"/>
      <c r="Q65" s="1590"/>
      <c r="R65" s="1579"/>
    </row>
    <row r="66" spans="1:18" s="2045" customFormat="1" ht="15.75" thickBot="1">
      <c r="A66" s="2082"/>
      <c r="B66" s="2083"/>
      <c r="C66" s="2083"/>
      <c r="I66" s="3122" t="s">
        <v>2369</v>
      </c>
      <c r="J66" s="3123">
        <v>40</v>
      </c>
      <c r="K66" s="3123">
        <v>30</v>
      </c>
      <c r="L66" s="3123">
        <v>50</v>
      </c>
      <c r="M66" s="3125">
        <v>0.02</v>
      </c>
      <c r="O66" s="2360" t="s">
        <v>2372</v>
      </c>
      <c r="P66" s="2361" t="s">
        <v>2373</v>
      </c>
      <c r="Q66" s="2362" t="s">
        <v>2374</v>
      </c>
      <c r="R66" s="2361" t="s">
        <v>2375</v>
      </c>
    </row>
    <row r="67" spans="1:18" s="2045" customFormat="1" ht="15.75" thickBot="1">
      <c r="A67" s="2082"/>
      <c r="B67" s="2083"/>
      <c r="C67" s="2083"/>
      <c r="K67" s="2072"/>
      <c r="O67" s="2363" t="s">
        <v>2376</v>
      </c>
      <c r="P67" s="2364" t="s">
        <v>2402</v>
      </c>
      <c r="Q67" s="2365">
        <f ca="1">C41+J31</f>
        <v>0</v>
      </c>
      <c r="R67" s="2364" t="s">
        <v>2377</v>
      </c>
    </row>
    <row r="68" spans="1:18" s="2045" customFormat="1" ht="20.25" thickBot="1">
      <c r="A68" s="2082"/>
      <c r="B68" s="2083"/>
      <c r="C68" s="2083"/>
      <c r="K68" s="2072"/>
      <c r="O68" s="2363" t="s">
        <v>2378</v>
      </c>
      <c r="P68" s="2364" t="s">
        <v>2409</v>
      </c>
      <c r="Q68" s="2365" t="e">
        <f ca="1">L61</f>
        <v>#DIV/0!</v>
      </c>
      <c r="R68" s="2368" t="s">
        <v>2411</v>
      </c>
    </row>
    <row r="69" spans="1:18" s="2045" customFormat="1" ht="21.75" thickBot="1">
      <c r="A69" s="2082"/>
      <c r="B69" s="2083"/>
      <c r="C69" s="2083"/>
      <c r="K69" s="2072"/>
      <c r="O69" s="2366" t="s">
        <v>2380</v>
      </c>
      <c r="P69" s="2364" t="s">
        <v>2410</v>
      </c>
      <c r="Q69" s="2370">
        <f ca="1">L52</f>
        <v>0</v>
      </c>
      <c r="R69" s="2371" t="s">
        <v>2413</v>
      </c>
    </row>
    <row r="70" spans="1:18" s="2045" customFormat="1" ht="20.25" thickBot="1">
      <c r="A70" s="2082"/>
      <c r="B70" s="2083"/>
      <c r="C70" s="2083"/>
      <c r="K70" s="2072"/>
      <c r="O70" s="2366" t="s">
        <v>2381</v>
      </c>
      <c r="P70" s="2372" t="s">
        <v>2395</v>
      </c>
      <c r="Q70" s="2365">
        <f ca="1">ROUND(Q71-Q72*Q73,0)</f>
        <v>0</v>
      </c>
      <c r="R70" s="2368"/>
    </row>
    <row r="71" spans="1:18" s="2045" customFormat="1" ht="15.75" thickBot="1">
      <c r="A71" s="2082"/>
      <c r="B71" s="2083"/>
      <c r="C71" s="2083"/>
      <c r="K71" s="2072"/>
      <c r="O71" s="2366" t="s">
        <v>2396</v>
      </c>
      <c r="P71" s="2372" t="s">
        <v>2397</v>
      </c>
      <c r="Q71" s="2365">
        <f ca="1">C42</f>
        <v>0</v>
      </c>
      <c r="R71" s="2364" t="s">
        <v>2377</v>
      </c>
    </row>
    <row r="72" spans="1:18" s="2045" customFormat="1" ht="15.75" thickBot="1">
      <c r="A72" s="2082"/>
      <c r="B72" s="2083"/>
      <c r="C72" s="2083"/>
      <c r="K72" s="2072"/>
      <c r="O72" s="2366" t="s">
        <v>2398</v>
      </c>
      <c r="P72" s="2372" t="s">
        <v>2399</v>
      </c>
      <c r="Q72" s="2365">
        <f ca="1">C15</f>
        <v>0</v>
      </c>
      <c r="R72" s="2364" t="s">
        <v>2377</v>
      </c>
    </row>
    <row r="73" spans="1:18" s="2045" customFormat="1" ht="15.75" thickBot="1">
      <c r="A73" s="2082"/>
      <c r="B73" s="2083"/>
      <c r="C73" s="2083"/>
      <c r="K73" s="2072"/>
      <c r="O73" s="2366" t="s">
        <v>2400</v>
      </c>
      <c r="P73" s="2372" t="s">
        <v>2401</v>
      </c>
      <c r="Q73" s="2367">
        <f ca="1">F43</f>
        <v>0</v>
      </c>
      <c r="R73" s="2368"/>
    </row>
    <row r="74" spans="1:18" s="2045" customFormat="1" ht="15.75" thickBot="1">
      <c r="A74" s="2082"/>
      <c r="B74" s="2083"/>
      <c r="C74" s="2083"/>
      <c r="K74" s="2072"/>
      <c r="O74" s="2366" t="s">
        <v>2383</v>
      </c>
      <c r="P74" s="2364" t="s">
        <v>2390</v>
      </c>
      <c r="Q74" s="2367">
        <f>L53</f>
        <v>0</v>
      </c>
      <c r="R74" s="2368"/>
    </row>
    <row r="75" spans="1:18" s="2045" customFormat="1" ht="20.25" thickBot="1">
      <c r="A75" s="2082"/>
      <c r="B75" s="2083"/>
      <c r="C75" s="2083"/>
      <c r="K75" s="2072"/>
      <c r="O75" s="2366" t="s">
        <v>2385</v>
      </c>
      <c r="P75" s="2364" t="s">
        <v>2391</v>
      </c>
      <c r="Q75" s="2365">
        <f ca="1">L59</f>
        <v>0</v>
      </c>
      <c r="R75" s="2368" t="s">
        <v>2392</v>
      </c>
    </row>
    <row r="76" spans="1:18" s="2045" customFormat="1" ht="20.25" thickBot="1">
      <c r="A76" s="2082"/>
      <c r="B76" s="2083"/>
      <c r="C76" s="2083"/>
      <c r="K76" s="2072"/>
      <c r="O76" s="2366" t="s">
        <v>2414</v>
      </c>
      <c r="P76" s="2364" t="s">
        <v>2393</v>
      </c>
      <c r="Q76" s="2365">
        <f ca="1">L60</f>
        <v>0</v>
      </c>
      <c r="R76" s="2368" t="s">
        <v>2394</v>
      </c>
    </row>
    <row r="77" spans="1:18" s="2045" customFormat="1" ht="15.75" thickBot="1">
      <c r="A77" s="2082"/>
      <c r="B77" s="2083"/>
      <c r="C77" s="2083"/>
      <c r="K77" s="2072"/>
      <c r="O77" s="2363" t="s">
        <v>2388</v>
      </c>
      <c r="P77" s="2364" t="s">
        <v>2405</v>
      </c>
      <c r="Q77" s="2365" t="e">
        <f ca="1">Q67+Q68</f>
        <v>#DIV/0!</v>
      </c>
      <c r="R77" s="2368" t="s">
        <v>2389</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B2" sqref="B2"/>
    </sheetView>
  </sheetViews>
  <sheetFormatPr defaultColWidth="9" defaultRowHeight="14.25"/>
  <cols>
    <col min="1" max="1" width="10.5" style="1333" customWidth="1"/>
    <col min="2" max="2" width="15.875" style="1333" customWidth="1"/>
    <col min="3" max="3" width="15.12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2588" t="s">
        <v>719</v>
      </c>
      <c r="C1" s="2589" t="s">
        <v>720</v>
      </c>
      <c r="D1" s="2590" t="s">
        <v>923</v>
      </c>
      <c r="E1" s="2591"/>
      <c r="F1" s="2763" t="s">
        <v>3109</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f>ROUND(B3*D3/10000,0)</f>
        <v>170471</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f>C49</f>
        <v>6467</v>
      </c>
      <c r="C3" s="852" t="s">
        <v>722</v>
      </c>
      <c r="D3" s="851">
        <f>SUMIF('数据-汇总表'!$C19:$C33,D1,'数据-汇总表'!$E19:$E33)</f>
        <v>263601.71000000002</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65" t="s">
        <v>522</v>
      </c>
      <c r="D4" s="3366"/>
      <c r="E4" s="3399" t="s">
        <v>523</v>
      </c>
      <c r="F4" s="3400"/>
      <c r="G4" s="3365" t="s">
        <v>524</v>
      </c>
      <c r="H4" s="3366"/>
      <c r="I4" s="3365" t="s">
        <v>525</v>
      </c>
      <c r="J4" s="3366"/>
      <c r="K4" s="853" t="s">
        <v>526</v>
      </c>
      <c r="L4" s="2119"/>
      <c r="M4" s="2120"/>
      <c r="N4" s="2120"/>
      <c r="O4" s="2120"/>
      <c r="P4" s="3367" t="s">
        <v>527</v>
      </c>
      <c r="Q4" s="3368"/>
      <c r="R4" s="3373" t="s">
        <v>523</v>
      </c>
      <c r="S4" s="3374"/>
      <c r="T4" s="3373" t="s">
        <v>524</v>
      </c>
      <c r="U4" s="3374"/>
      <c r="V4" s="3360" t="s">
        <v>525</v>
      </c>
      <c r="W4" s="3360"/>
      <c r="X4" s="1554"/>
      <c r="Y4" s="3373" t="s">
        <v>527</v>
      </c>
      <c r="Z4" s="3374"/>
      <c r="AA4" s="3362" t="s">
        <v>523</v>
      </c>
      <c r="AB4" s="3362" t="s">
        <v>524</v>
      </c>
      <c r="AC4" s="3362" t="s">
        <v>525</v>
      </c>
    </row>
    <row r="5" spans="1:29" ht="15">
      <c r="A5" s="515"/>
      <c r="B5" s="516"/>
      <c r="C5" s="3381" t="s">
        <v>2925</v>
      </c>
      <c r="D5" s="3382"/>
      <c r="E5" s="3456" t="s">
        <v>3112</v>
      </c>
      <c r="F5" s="3402"/>
      <c r="G5" s="3455" t="s">
        <v>3113</v>
      </c>
      <c r="H5" s="3382"/>
      <c r="I5" s="3455" t="s">
        <v>3114</v>
      </c>
      <c r="J5" s="3382"/>
      <c r="K5" s="854"/>
      <c r="L5" s="2119"/>
      <c r="M5" s="2120"/>
      <c r="N5" s="2120"/>
      <c r="O5" s="2120"/>
      <c r="P5" s="3369"/>
      <c r="Q5" s="3370"/>
      <c r="R5" s="3375"/>
      <c r="S5" s="3376"/>
      <c r="T5" s="3375"/>
      <c r="U5" s="3376"/>
      <c r="V5" s="3360"/>
      <c r="W5" s="3360"/>
      <c r="X5" s="1554"/>
      <c r="Y5" s="3375"/>
      <c r="Z5" s="3376"/>
      <c r="AA5" s="3363"/>
      <c r="AB5" s="3363"/>
      <c r="AC5" s="3363"/>
    </row>
    <row r="6" spans="1:29" ht="15.75" thickBot="1">
      <c r="A6" s="517"/>
      <c r="B6" s="518"/>
      <c r="C6" s="3379" t="s">
        <v>2929</v>
      </c>
      <c r="D6" s="3380"/>
      <c r="E6" s="3397" t="s">
        <v>2929</v>
      </c>
      <c r="F6" s="3398"/>
      <c r="G6" s="3379" t="s">
        <v>2929</v>
      </c>
      <c r="H6" s="3380"/>
      <c r="I6" s="3379" t="s">
        <v>2929</v>
      </c>
      <c r="J6" s="3380"/>
      <c r="K6" s="854" t="s">
        <v>528</v>
      </c>
      <c r="L6" s="2119"/>
      <c r="M6" s="2120"/>
      <c r="N6" s="2120"/>
      <c r="O6" s="2120"/>
      <c r="P6" s="3371"/>
      <c r="Q6" s="3372"/>
      <c r="R6" s="3375"/>
      <c r="S6" s="3376"/>
      <c r="T6" s="3377"/>
      <c r="U6" s="3378"/>
      <c r="V6" s="3360"/>
      <c r="W6" s="3360"/>
      <c r="X6" s="1554"/>
      <c r="Y6" s="3377"/>
      <c r="Z6" s="3378"/>
      <c r="AA6" s="3364"/>
      <c r="AB6" s="3364"/>
      <c r="AC6" s="3364"/>
    </row>
    <row r="7" spans="1:29" s="1216" customFormat="1" ht="15.75" thickBot="1">
      <c r="A7" s="2868"/>
      <c r="B7" s="2875" t="s">
        <v>529</v>
      </c>
      <c r="C7" s="519">
        <f>'数据-取费表'!B2</f>
        <v>43927</v>
      </c>
      <c r="D7" s="520">
        <v>100</v>
      </c>
      <c r="E7" s="521">
        <f>C7</f>
        <v>43927</v>
      </c>
      <c r="F7" s="522">
        <f>SUMIF(58:58,YEAR(E7)&amp;"-"&amp;MONTH(E7),59:59)</f>
        <v>100</v>
      </c>
      <c r="G7" s="523">
        <f>C7</f>
        <v>43927</v>
      </c>
      <c r="H7" s="520">
        <f>SUMIF(58:58,YEAR(G7)&amp;"-"&amp;MONTH(G7),59:59)</f>
        <v>100</v>
      </c>
      <c r="I7" s="523">
        <f>C7</f>
        <v>43927</v>
      </c>
      <c r="J7" s="520">
        <f>SUMIF(58:58,YEAR(I7)&amp;"-"&amp;MONTH(I7),59:59)</f>
        <v>100</v>
      </c>
      <c r="K7" s="855"/>
      <c r="L7" s="2121"/>
      <c r="M7" s="2122"/>
      <c r="N7" s="2122"/>
      <c r="O7" s="2122"/>
      <c r="P7" s="3390" t="s">
        <v>530</v>
      </c>
      <c r="Q7" s="3392"/>
      <c r="R7" s="1555" t="s">
        <v>13</v>
      </c>
      <c r="S7" s="1556">
        <f t="shared" ref="S7:S15" si="0">F7</f>
        <v>100</v>
      </c>
      <c r="T7" s="1555" t="s">
        <v>13</v>
      </c>
      <c r="U7" s="1556">
        <f t="shared" ref="U7:U15" si="1">H7</f>
        <v>100</v>
      </c>
      <c r="V7" s="1555" t="s">
        <v>13</v>
      </c>
      <c r="W7" s="1556">
        <f t="shared" ref="W7:W15" si="2">J7</f>
        <v>100</v>
      </c>
      <c r="X7" s="1557"/>
      <c r="Y7" s="3390" t="s">
        <v>530</v>
      </c>
      <c r="Z7" s="3391"/>
      <c r="AA7" s="1558">
        <f>D7/F7</f>
        <v>1</v>
      </c>
      <c r="AB7" s="1558">
        <f>D7/H7</f>
        <v>1</v>
      </c>
      <c r="AC7" s="1558">
        <f>D7/J7</f>
        <v>1</v>
      </c>
    </row>
    <row r="8" spans="1:29" s="1216" customFormat="1" ht="15.75" thickBot="1">
      <c r="A8" s="2869"/>
      <c r="B8" s="2876"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21"/>
      <c r="M8" s="2122"/>
      <c r="N8" s="2122"/>
      <c r="O8" s="2122"/>
      <c r="P8" s="3390" t="s">
        <v>533</v>
      </c>
      <c r="Q8" s="3391"/>
      <c r="R8" s="1555" t="s">
        <v>13</v>
      </c>
      <c r="S8" s="1556">
        <f t="shared" si="0"/>
        <v>100</v>
      </c>
      <c r="T8" s="1555" t="s">
        <v>13</v>
      </c>
      <c r="U8" s="1556">
        <f t="shared" si="1"/>
        <v>100</v>
      </c>
      <c r="V8" s="1555" t="s">
        <v>13</v>
      </c>
      <c r="W8" s="1556">
        <f t="shared" si="2"/>
        <v>100</v>
      </c>
      <c r="X8" s="1557"/>
      <c r="Y8" s="3390" t="s">
        <v>533</v>
      </c>
      <c r="Z8" s="3391"/>
      <c r="AA8" s="1558">
        <f t="shared" ref="AA8:AA46" si="3">D8/F8</f>
        <v>1</v>
      </c>
      <c r="AB8" s="1558">
        <f t="shared" ref="AB8:AB46" si="4">D8/H8</f>
        <v>1</v>
      </c>
      <c r="AC8" s="1558">
        <f t="shared" ref="AC8:AC46" si="5">D8/J8</f>
        <v>1</v>
      </c>
    </row>
    <row r="9" spans="1:29" s="1216" customFormat="1" ht="15">
      <c r="A9" s="2870"/>
      <c r="B9" s="2877" t="s">
        <v>2751</v>
      </c>
      <c r="C9" s="3190" t="s">
        <v>3110</v>
      </c>
      <c r="D9" s="254">
        <v>100</v>
      </c>
      <c r="E9" s="858" t="s">
        <v>923</v>
      </c>
      <c r="F9" s="859">
        <f>SUMIF(63:63,E9,64:64)-SUMIF(63:63,C9,64:64)+100</f>
        <v>100</v>
      </c>
      <c r="G9" s="858" t="s">
        <v>923</v>
      </c>
      <c r="H9" s="254">
        <f>SUMIF(63:63,G9,64:64)-SUMIF(63:63,C9,64:64)+100</f>
        <v>100</v>
      </c>
      <c r="I9" s="858" t="s">
        <v>923</v>
      </c>
      <c r="J9" s="254">
        <f>SUMIF(63:63,I9,64:64)-SUMIF(63:63,C9,64:64)+100</f>
        <v>100</v>
      </c>
      <c r="K9" s="855"/>
      <c r="L9" s="2121"/>
      <c r="M9" s="2122"/>
      <c r="N9" s="2122"/>
      <c r="O9" s="2123"/>
      <c r="P9" s="3359" t="s">
        <v>535</v>
      </c>
      <c r="Q9" s="1147" t="str">
        <f t="shared" ref="Q9:Q15" si="6">B9</f>
        <v>用途</v>
      </c>
      <c r="R9" s="1555" t="s">
        <v>8</v>
      </c>
      <c r="S9" s="1556">
        <f t="shared" si="0"/>
        <v>100</v>
      </c>
      <c r="T9" s="1555" t="s">
        <v>8</v>
      </c>
      <c r="U9" s="1556">
        <f t="shared" si="1"/>
        <v>100</v>
      </c>
      <c r="V9" s="1555" t="s">
        <v>8</v>
      </c>
      <c r="W9" s="1556">
        <f t="shared" si="2"/>
        <v>100</v>
      </c>
      <c r="X9" s="1557"/>
      <c r="Y9" s="3305" t="s">
        <v>536</v>
      </c>
      <c r="Z9" s="1146" t="str">
        <f t="shared" ref="Z9:Z15" si="7">Q9</f>
        <v>用途</v>
      </c>
      <c r="AA9" s="1558">
        <f t="shared" si="3"/>
        <v>1</v>
      </c>
      <c r="AB9" s="1558">
        <f t="shared" si="4"/>
        <v>1</v>
      </c>
      <c r="AC9" s="1558">
        <f t="shared" si="5"/>
        <v>1</v>
      </c>
    </row>
    <row r="10" spans="1:29" s="1334" customFormat="1" ht="27">
      <c r="A10" s="2871"/>
      <c r="B10" s="2876" t="s">
        <v>2752</v>
      </c>
      <c r="C10" s="861" t="s">
        <v>3111</v>
      </c>
      <c r="D10" s="255">
        <v>100</v>
      </c>
      <c r="E10" s="862" t="s">
        <v>3111</v>
      </c>
      <c r="F10" s="863">
        <f>SUMIF(65:65,E10,66:66)-SUMIF(65:65,C10,66:66)+100</f>
        <v>100</v>
      </c>
      <c r="G10" s="861" t="s">
        <v>3111</v>
      </c>
      <c r="H10" s="255">
        <f>SUMIF(65:65,G10,66:66)-SUMIF(65:65,C10,66:66)+100</f>
        <v>100</v>
      </c>
      <c r="I10" s="861" t="s">
        <v>3111</v>
      </c>
      <c r="J10" s="255">
        <f>SUMIF(65:65,I10,66:66)-SUMIF(65:65,C10,66:66)+100</f>
        <v>100</v>
      </c>
      <c r="K10" s="864">
        <v>1</v>
      </c>
      <c r="L10" s="2124"/>
      <c r="M10" s="2164"/>
      <c r="N10" s="2164"/>
      <c r="O10" s="2125"/>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75" thickBot="1">
      <c r="A11" s="2872"/>
      <c r="B11" s="2876" t="s">
        <v>2753</v>
      </c>
      <c r="C11" s="533">
        <f>'数据-汇总表'!I4</f>
        <v>3</v>
      </c>
      <c r="D11" s="255">
        <v>100</v>
      </c>
      <c r="E11" s="534">
        <v>2.78</v>
      </c>
      <c r="F11" s="863">
        <f>LOOKUP(E11,68:68,69:69)-LOOKUP(C11,68:68,69:69)+100</f>
        <v>102</v>
      </c>
      <c r="G11" s="533">
        <v>2.1</v>
      </c>
      <c r="H11" s="255">
        <f>LOOKUP(G11,68:68,69:69)-LOOKUP(C11,68:68,69:69)+100</f>
        <v>102</v>
      </c>
      <c r="I11" s="533">
        <v>3</v>
      </c>
      <c r="J11" s="255">
        <f>LOOKUP(I11,68:68,69:69)-LOOKUP(C11,68:68,69:69)+100</f>
        <v>100</v>
      </c>
      <c r="K11" s="864">
        <v>2</v>
      </c>
      <c r="L11" s="2126"/>
      <c r="M11" s="2120"/>
      <c r="N11" s="2120"/>
      <c r="O11" s="2127"/>
      <c r="P11" s="3359"/>
      <c r="Q11" s="1147" t="str">
        <f t="shared" si="6"/>
        <v>容积率</v>
      </c>
      <c r="R11" s="1555" t="s">
        <v>11</v>
      </c>
      <c r="S11" s="1556">
        <f t="shared" si="0"/>
        <v>102</v>
      </c>
      <c r="T11" s="1555" t="s">
        <v>11</v>
      </c>
      <c r="U11" s="1556">
        <f t="shared" si="1"/>
        <v>102</v>
      </c>
      <c r="V11" s="1555" t="s">
        <v>11</v>
      </c>
      <c r="W11" s="1556">
        <f t="shared" si="2"/>
        <v>100</v>
      </c>
      <c r="X11" s="1557"/>
      <c r="Y11" s="3305"/>
      <c r="Z11" s="1146" t="str">
        <f t="shared" si="7"/>
        <v>容积率</v>
      </c>
      <c r="AA11" s="1558">
        <f t="shared" si="3"/>
        <v>0.98039215686274506</v>
      </c>
      <c r="AB11" s="1558">
        <f t="shared" si="4"/>
        <v>0.98039215686274506</v>
      </c>
      <c r="AC11" s="1558">
        <f t="shared" si="5"/>
        <v>1</v>
      </c>
    </row>
    <row r="12" spans="1:29" s="1216" customFormat="1" ht="15" hidden="1">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59"/>
      <c r="Q12" s="1147">
        <f t="shared" si="6"/>
        <v>111</v>
      </c>
      <c r="R12" s="1555" t="s">
        <v>11</v>
      </c>
      <c r="S12" s="1556">
        <f t="shared" si="0"/>
        <v>100</v>
      </c>
      <c r="T12" s="1555" t="s">
        <v>11</v>
      </c>
      <c r="U12" s="1556">
        <f t="shared" si="1"/>
        <v>100</v>
      </c>
      <c r="V12" s="1555" t="s">
        <v>11</v>
      </c>
      <c r="W12" s="1556">
        <f t="shared" si="2"/>
        <v>100</v>
      </c>
      <c r="X12" s="1557"/>
      <c r="Y12" s="3305"/>
      <c r="Z12" s="1146">
        <f t="shared" si="7"/>
        <v>111</v>
      </c>
      <c r="AA12" s="1558">
        <f>D12/F12</f>
        <v>1</v>
      </c>
      <c r="AB12" s="1558">
        <f>D12/H12</f>
        <v>1</v>
      </c>
      <c r="AC12" s="1558">
        <f>D12/J12</f>
        <v>1</v>
      </c>
    </row>
    <row r="13" spans="1:29" ht="15" hidden="1">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59"/>
      <c r="Q13" s="1147">
        <f t="shared" si="6"/>
        <v>111</v>
      </c>
      <c r="R13" s="1555" t="s">
        <v>11</v>
      </c>
      <c r="S13" s="1556">
        <f t="shared" si="0"/>
        <v>100</v>
      </c>
      <c r="T13" s="1555" t="s">
        <v>11</v>
      </c>
      <c r="U13" s="1556">
        <f t="shared" si="1"/>
        <v>100</v>
      </c>
      <c r="V13" s="1555" t="s">
        <v>11</v>
      </c>
      <c r="W13" s="1556">
        <f t="shared" si="2"/>
        <v>100</v>
      </c>
      <c r="X13" s="1557"/>
      <c r="Y13" s="3305"/>
      <c r="Z13" s="1146">
        <f t="shared" si="7"/>
        <v>111</v>
      </c>
      <c r="AA13" s="1558">
        <f t="shared" si="3"/>
        <v>1</v>
      </c>
      <c r="AB13" s="1558">
        <f t="shared" si="4"/>
        <v>1</v>
      </c>
      <c r="AC13" s="1558">
        <f t="shared" si="5"/>
        <v>1</v>
      </c>
    </row>
    <row r="14" spans="1:29" ht="15.75" hidden="1"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59"/>
      <c r="Q14" s="1147">
        <f t="shared" si="6"/>
        <v>111</v>
      </c>
      <c r="R14" s="1555" t="s">
        <v>11</v>
      </c>
      <c r="S14" s="1556">
        <f t="shared" si="0"/>
        <v>100</v>
      </c>
      <c r="T14" s="1555" t="s">
        <v>11</v>
      </c>
      <c r="U14" s="1556">
        <f t="shared" si="1"/>
        <v>100</v>
      </c>
      <c r="V14" s="1555" t="s">
        <v>11</v>
      </c>
      <c r="W14" s="1556">
        <f t="shared" si="2"/>
        <v>100</v>
      </c>
      <c r="X14" s="1557"/>
      <c r="Y14" s="3305"/>
      <c r="Z14" s="1146">
        <f t="shared" si="7"/>
        <v>111</v>
      </c>
      <c r="AA14" s="1558">
        <f t="shared" si="3"/>
        <v>1</v>
      </c>
      <c r="AB14" s="1558">
        <f t="shared" si="4"/>
        <v>1</v>
      </c>
      <c r="AC14" s="1558">
        <f t="shared" si="5"/>
        <v>1</v>
      </c>
    </row>
    <row r="15" spans="1:29" ht="99.75">
      <c r="A15" s="2866" t="s">
        <v>2749</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2</v>
      </c>
      <c r="L15" s="2128"/>
      <c r="M15" s="2120"/>
      <c r="N15" s="2120"/>
      <c r="O15" s="2127"/>
      <c r="P15" s="3393" t="s">
        <v>540</v>
      </c>
      <c r="Q15" s="1559" t="str">
        <f t="shared" si="6"/>
        <v>居住社区成熟度</v>
      </c>
      <c r="R15" s="1560" t="s">
        <v>11</v>
      </c>
      <c r="S15" s="1561">
        <f t="shared" si="0"/>
        <v>100</v>
      </c>
      <c r="T15" s="1560" t="s">
        <v>11</v>
      </c>
      <c r="U15" s="1561">
        <f t="shared" si="1"/>
        <v>100</v>
      </c>
      <c r="V15" s="1560" t="s">
        <v>11</v>
      </c>
      <c r="W15" s="1561">
        <f t="shared" si="2"/>
        <v>100</v>
      </c>
      <c r="X15" s="1554"/>
      <c r="Y15" s="3393" t="s">
        <v>540</v>
      </c>
      <c r="Z15" s="1562" t="str">
        <f t="shared" si="7"/>
        <v>居住社区成熟度</v>
      </c>
      <c r="AA15" s="1563">
        <f t="shared" si="3"/>
        <v>1</v>
      </c>
      <c r="AB15" s="1563">
        <f t="shared" si="4"/>
        <v>1</v>
      </c>
      <c r="AC15" s="1563">
        <f t="shared" si="5"/>
        <v>1</v>
      </c>
    </row>
    <row r="16" spans="1:29" ht="15">
      <c r="A16" s="532"/>
      <c r="B16" s="869"/>
      <c r="C16" s="576" t="s">
        <v>3092</v>
      </c>
      <c r="D16" s="555"/>
      <c r="E16" s="576" t="s">
        <v>3092</v>
      </c>
      <c r="F16" s="557"/>
      <c r="G16" s="576" t="s">
        <v>3092</v>
      </c>
      <c r="H16" s="559"/>
      <c r="I16" s="576" t="s">
        <v>3092</v>
      </c>
      <c r="J16" s="555"/>
      <c r="K16" s="870"/>
      <c r="L16" s="2128"/>
      <c r="M16" s="2120"/>
      <c r="N16" s="2120"/>
      <c r="O16" s="2127"/>
      <c r="P16" s="3394"/>
      <c r="Q16" s="1559"/>
      <c r="R16" s="1560"/>
      <c r="S16" s="1561"/>
      <c r="T16" s="1560"/>
      <c r="U16" s="1561"/>
      <c r="V16" s="1560"/>
      <c r="W16" s="1561"/>
      <c r="X16" s="1554"/>
      <c r="Y16" s="3394"/>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2</v>
      </c>
      <c r="L17" s="2128"/>
      <c r="M17" s="2120"/>
      <c r="N17" s="2120"/>
      <c r="O17" s="2127"/>
      <c r="P17" s="3394"/>
      <c r="Q17" s="1559" t="str">
        <f>B17</f>
        <v>交通便捷度</v>
      </c>
      <c r="R17" s="1560" t="s">
        <v>11</v>
      </c>
      <c r="S17" s="1561">
        <f>F17</f>
        <v>100</v>
      </c>
      <c r="T17" s="1560" t="s">
        <v>11</v>
      </c>
      <c r="U17" s="1561">
        <f>H17</f>
        <v>100</v>
      </c>
      <c r="V17" s="1560" t="s">
        <v>11</v>
      </c>
      <c r="W17" s="1561">
        <f>J17</f>
        <v>100</v>
      </c>
      <c r="X17" s="1554"/>
      <c r="Y17" s="3394"/>
      <c r="Z17" s="1562" t="str">
        <f>Q17</f>
        <v>交通便捷度</v>
      </c>
      <c r="AA17" s="1563">
        <f t="shared" si="3"/>
        <v>1</v>
      </c>
      <c r="AB17" s="1563">
        <f t="shared" si="4"/>
        <v>1</v>
      </c>
      <c r="AC17" s="1563">
        <f t="shared" si="5"/>
        <v>1</v>
      </c>
    </row>
    <row r="18" spans="1:29" ht="15">
      <c r="A18" s="532"/>
      <c r="B18" s="595"/>
      <c r="C18" s="873" t="s">
        <v>3092</v>
      </c>
      <c r="D18" s="559"/>
      <c r="E18" s="873" t="s">
        <v>3092</v>
      </c>
      <c r="F18" s="563"/>
      <c r="G18" s="873" t="s">
        <v>3092</v>
      </c>
      <c r="H18" s="555"/>
      <c r="I18" s="873" t="s">
        <v>3092</v>
      </c>
      <c r="J18" s="555"/>
      <c r="K18" s="870"/>
      <c r="L18" s="2128"/>
      <c r="M18" s="2120"/>
      <c r="N18" s="2120"/>
      <c r="O18" s="2127"/>
      <c r="P18" s="3394"/>
      <c r="Q18" s="1559"/>
      <c r="R18" s="1560"/>
      <c r="S18" s="1561"/>
      <c r="T18" s="1560"/>
      <c r="U18" s="1561"/>
      <c r="V18" s="1560"/>
      <c r="W18" s="1561"/>
      <c r="X18" s="1554"/>
      <c r="Y18" s="3394"/>
      <c r="Z18" s="1562"/>
      <c r="AA18" s="1563">
        <v>1</v>
      </c>
      <c r="AB18" s="1563">
        <v>1</v>
      </c>
      <c r="AC18" s="1563">
        <v>1</v>
      </c>
    </row>
    <row r="19" spans="1:29" ht="42.75">
      <c r="A19" s="532"/>
      <c r="B19" s="2565" t="s">
        <v>2542</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2</v>
      </c>
      <c r="L19" s="2128"/>
      <c r="M19" s="2120"/>
      <c r="N19" s="2120"/>
      <c r="O19" s="2127"/>
      <c r="P19" s="3394"/>
      <c r="Q19" s="1559" t="str">
        <f>B19</f>
        <v>公共配套设施</v>
      </c>
      <c r="R19" s="1560" t="s">
        <v>11</v>
      </c>
      <c r="S19" s="1561">
        <f>F19</f>
        <v>100</v>
      </c>
      <c r="T19" s="1560" t="s">
        <v>11</v>
      </c>
      <c r="U19" s="1561">
        <f>H19</f>
        <v>100</v>
      </c>
      <c r="V19" s="1560" t="s">
        <v>11</v>
      </c>
      <c r="W19" s="1561">
        <f>J19</f>
        <v>100</v>
      </c>
      <c r="X19" s="1554"/>
      <c r="Y19" s="3394"/>
      <c r="Z19" s="1562" t="str">
        <f>Q19</f>
        <v>公共配套设施</v>
      </c>
      <c r="AA19" s="1563">
        <f t="shared" si="3"/>
        <v>1</v>
      </c>
      <c r="AB19" s="1563">
        <f t="shared" si="4"/>
        <v>1</v>
      </c>
      <c r="AC19" s="1563">
        <f t="shared" si="5"/>
        <v>1</v>
      </c>
    </row>
    <row r="20" spans="1:29" ht="15">
      <c r="A20" s="532"/>
      <c r="B20" s="595"/>
      <c r="C20" s="576" t="s">
        <v>3092</v>
      </c>
      <c r="D20" s="555"/>
      <c r="E20" s="576" t="s">
        <v>3092</v>
      </c>
      <c r="F20" s="557"/>
      <c r="G20" s="576" t="s">
        <v>3092</v>
      </c>
      <c r="H20" s="555"/>
      <c r="I20" s="576" t="s">
        <v>3092</v>
      </c>
      <c r="J20" s="555"/>
      <c r="K20" s="870"/>
      <c r="L20" s="2128"/>
      <c r="M20" s="2120"/>
      <c r="N20" s="2120"/>
      <c r="O20" s="2127"/>
      <c r="P20" s="3394"/>
      <c r="Q20" s="1559"/>
      <c r="R20" s="1560"/>
      <c r="S20" s="1561"/>
      <c r="T20" s="1560"/>
      <c r="U20" s="1561"/>
      <c r="V20" s="1560"/>
      <c r="W20" s="1561"/>
      <c r="X20" s="1554"/>
      <c r="Y20" s="3394"/>
      <c r="Z20" s="1562"/>
      <c r="AA20" s="1563">
        <v>1</v>
      </c>
      <c r="AB20" s="1563">
        <v>1</v>
      </c>
      <c r="AC20" s="1563">
        <v>1</v>
      </c>
    </row>
    <row r="21" spans="1:29" ht="28.5">
      <c r="A21" s="532"/>
      <c r="B21" s="2558" t="s">
        <v>2554</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1</v>
      </c>
      <c r="L21" s="2128"/>
      <c r="M21" s="2120"/>
      <c r="N21" s="2120"/>
      <c r="O21" s="2127"/>
      <c r="P21" s="3394"/>
      <c r="Q21" s="2544" t="str">
        <f>B21</f>
        <v>基础设施水平</v>
      </c>
      <c r="R21" s="1560" t="s">
        <v>11</v>
      </c>
      <c r="S21" s="1561">
        <f>F21</f>
        <v>100</v>
      </c>
      <c r="T21" s="1560" t="s">
        <v>11</v>
      </c>
      <c r="U21" s="1561">
        <f>H21</f>
        <v>100</v>
      </c>
      <c r="V21" s="1560" t="s">
        <v>11</v>
      </c>
      <c r="W21" s="1561">
        <f>J21</f>
        <v>100</v>
      </c>
      <c r="X21" s="2546"/>
      <c r="Y21" s="3394"/>
      <c r="Z21" s="2545" t="str">
        <f>Q21</f>
        <v>基础设施水平</v>
      </c>
      <c r="AA21" s="1563">
        <f t="shared" ref="AA21" si="8">D21/F21</f>
        <v>1</v>
      </c>
      <c r="AB21" s="1563">
        <f t="shared" ref="AB21" si="9">D21/H21</f>
        <v>1</v>
      </c>
      <c r="AC21" s="1563">
        <f t="shared" ref="AC21" si="10">D21/J21</f>
        <v>1</v>
      </c>
    </row>
    <row r="22" spans="1:29" ht="15">
      <c r="A22" s="532"/>
      <c r="B22" s="922"/>
      <c r="C22" s="873" t="s">
        <v>3094</v>
      </c>
      <c r="D22" s="555"/>
      <c r="E22" s="873" t="s">
        <v>3094</v>
      </c>
      <c r="F22" s="557"/>
      <c r="G22" s="873" t="s">
        <v>3094</v>
      </c>
      <c r="H22" s="555"/>
      <c r="I22" s="873" t="s">
        <v>3094</v>
      </c>
      <c r="J22" s="555"/>
      <c r="K22" s="2564"/>
      <c r="L22" s="2128"/>
      <c r="M22" s="2120"/>
      <c r="N22" s="2120"/>
      <c r="O22" s="2127"/>
      <c r="P22" s="3394"/>
      <c r="Q22" s="2544"/>
      <c r="R22" s="1560"/>
      <c r="S22" s="1561"/>
      <c r="T22" s="1560"/>
      <c r="U22" s="1561"/>
      <c r="V22" s="1560"/>
      <c r="W22" s="1561"/>
      <c r="X22" s="2546"/>
      <c r="Y22" s="3394"/>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v>2</v>
      </c>
      <c r="L23" s="2128"/>
      <c r="M23" s="2120"/>
      <c r="N23" s="2120"/>
      <c r="O23" s="2127"/>
      <c r="P23" s="3394"/>
      <c r="Q23" s="1559" t="str">
        <f>B23</f>
        <v>自然及人文环境</v>
      </c>
      <c r="R23" s="1560" t="s">
        <v>11</v>
      </c>
      <c r="S23" s="1561">
        <f>F23</f>
        <v>100</v>
      </c>
      <c r="T23" s="1560" t="s">
        <v>11</v>
      </c>
      <c r="U23" s="1561">
        <f>H23</f>
        <v>100</v>
      </c>
      <c r="V23" s="1560" t="s">
        <v>11</v>
      </c>
      <c r="W23" s="1561">
        <f>J23</f>
        <v>100</v>
      </c>
      <c r="X23" s="1554"/>
      <c r="Y23" s="3394"/>
      <c r="Z23" s="1562" t="str">
        <f>Q23</f>
        <v>自然及人文环境</v>
      </c>
      <c r="AA23" s="1563">
        <f t="shared" si="3"/>
        <v>1</v>
      </c>
      <c r="AB23" s="1563">
        <f t="shared" si="4"/>
        <v>1</v>
      </c>
      <c r="AC23" s="1563">
        <f t="shared" si="5"/>
        <v>1</v>
      </c>
    </row>
    <row r="24" spans="1:29" ht="15.75" thickBot="1">
      <c r="A24" s="532"/>
      <c r="B24" s="595"/>
      <c r="C24" s="576" t="s">
        <v>3092</v>
      </c>
      <c r="D24" s="555"/>
      <c r="E24" s="576" t="s">
        <v>3092</v>
      </c>
      <c r="F24" s="557"/>
      <c r="G24" s="576" t="s">
        <v>3092</v>
      </c>
      <c r="H24" s="555"/>
      <c r="I24" s="576" t="s">
        <v>3092</v>
      </c>
      <c r="J24" s="555"/>
      <c r="K24" s="870"/>
      <c r="L24" s="2128"/>
      <c r="M24" s="2120"/>
      <c r="N24" s="2120"/>
      <c r="O24" s="2127"/>
      <c r="P24" s="3394"/>
      <c r="Q24" s="1559"/>
      <c r="R24" s="1560"/>
      <c r="S24" s="1561"/>
      <c r="T24" s="1560"/>
      <c r="U24" s="1561"/>
      <c r="V24" s="1560"/>
      <c r="W24" s="1561"/>
      <c r="X24" s="1554"/>
      <c r="Y24" s="3394"/>
      <c r="Z24" s="1562"/>
      <c r="AA24" s="1563">
        <v>1</v>
      </c>
      <c r="AB24" s="1563">
        <v>1</v>
      </c>
      <c r="AC24" s="1563">
        <v>1</v>
      </c>
    </row>
    <row r="25" spans="1:29" ht="15" hidden="1">
      <c r="A25" s="532"/>
      <c r="B25" s="1881" t="s">
        <v>2253</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394"/>
      <c r="Q25" s="1559" t="str">
        <f t="shared" ref="Q25:Q46" si="11">B25</f>
        <v>楼层-1</v>
      </c>
      <c r="R25" s="1560" t="s">
        <v>11</v>
      </c>
      <c r="S25" s="1561">
        <f>F25</f>
        <v>100</v>
      </c>
      <c r="T25" s="1560" t="s">
        <v>11</v>
      </c>
      <c r="U25" s="1561">
        <f>H25</f>
        <v>100</v>
      </c>
      <c r="V25" s="1560" t="s">
        <v>11</v>
      </c>
      <c r="W25" s="1561">
        <f>J25</f>
        <v>100</v>
      </c>
      <c r="X25" s="1554"/>
      <c r="Y25" s="3394"/>
      <c r="Z25" s="1562" t="str">
        <f>Q25</f>
        <v>楼层-1</v>
      </c>
      <c r="AA25" s="1563">
        <f t="shared" si="3"/>
        <v>1</v>
      </c>
      <c r="AB25" s="1563">
        <f t="shared" si="4"/>
        <v>1</v>
      </c>
      <c r="AC25" s="1563">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394"/>
      <c r="Q26" s="1559" t="str">
        <f t="shared" si="11"/>
        <v>朝向</v>
      </c>
      <c r="R26" s="1560" t="s">
        <v>11</v>
      </c>
      <c r="S26" s="1561">
        <f>F26</f>
        <v>100</v>
      </c>
      <c r="T26" s="1560" t="s">
        <v>11</v>
      </c>
      <c r="U26" s="1561">
        <f>H26</f>
        <v>100</v>
      </c>
      <c r="V26" s="1560" t="s">
        <v>11</v>
      </c>
      <c r="W26" s="1561">
        <f>J26</f>
        <v>100</v>
      </c>
      <c r="X26" s="1554"/>
      <c r="Y26" s="3394"/>
      <c r="Z26" s="1562" t="str">
        <f>Q26</f>
        <v>朝向</v>
      </c>
      <c r="AA26" s="1563">
        <f t="shared" si="3"/>
        <v>1</v>
      </c>
      <c r="AB26" s="1563">
        <f t="shared" si="4"/>
        <v>1</v>
      </c>
      <c r="AC26" s="1563">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394"/>
      <c r="Q27" s="1147" t="str">
        <f t="shared" si="11"/>
        <v>道路级别</v>
      </c>
      <c r="R27" s="1555" t="s">
        <v>11</v>
      </c>
      <c r="S27" s="1556">
        <f>F27</f>
        <v>100</v>
      </c>
      <c r="T27" s="1555" t="s">
        <v>11</v>
      </c>
      <c r="U27" s="1556">
        <f>H27</f>
        <v>100</v>
      </c>
      <c r="V27" s="1555" t="s">
        <v>11</v>
      </c>
      <c r="W27" s="1556">
        <f>J27</f>
        <v>100</v>
      </c>
      <c r="X27" s="1557"/>
      <c r="Y27" s="3394"/>
      <c r="Z27" s="1146" t="str">
        <f>Q27</f>
        <v>道路级别</v>
      </c>
      <c r="AA27" s="1563">
        <f>D27/F27</f>
        <v>1</v>
      </c>
      <c r="AB27" s="1563">
        <f>D27/H27</f>
        <v>1</v>
      </c>
      <c r="AC27" s="1563">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394"/>
      <c r="Q28" s="1559">
        <f t="shared" si="11"/>
        <v>111</v>
      </c>
      <c r="R28" s="1560" t="s">
        <v>11</v>
      </c>
      <c r="S28" s="1561">
        <f t="shared" ref="S28:S46" si="12">F28</f>
        <v>100</v>
      </c>
      <c r="T28" s="1560" t="s">
        <v>11</v>
      </c>
      <c r="U28" s="1561">
        <f t="shared" ref="U28:U46" si="13">H28</f>
        <v>100</v>
      </c>
      <c r="V28" s="1560" t="s">
        <v>11</v>
      </c>
      <c r="W28" s="1561">
        <f t="shared" ref="W28:W46" si="14">J28</f>
        <v>100</v>
      </c>
      <c r="X28" s="1554"/>
      <c r="Y28" s="3394"/>
      <c r="Z28" s="1562">
        <f t="shared" ref="Z28:Z46" si="15">Q28</f>
        <v>111</v>
      </c>
      <c r="AA28" s="1563">
        <f t="shared" si="3"/>
        <v>1</v>
      </c>
      <c r="AB28" s="1563">
        <f t="shared" si="4"/>
        <v>1</v>
      </c>
      <c r="AC28" s="1563">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394"/>
      <c r="Q29" s="1559">
        <f t="shared" si="11"/>
        <v>111</v>
      </c>
      <c r="R29" s="1560" t="s">
        <v>11</v>
      </c>
      <c r="S29" s="1561">
        <f t="shared" si="12"/>
        <v>100</v>
      </c>
      <c r="T29" s="1560" t="s">
        <v>11</v>
      </c>
      <c r="U29" s="1561">
        <f t="shared" si="13"/>
        <v>100</v>
      </c>
      <c r="V29" s="1560" t="s">
        <v>11</v>
      </c>
      <c r="W29" s="1561">
        <f t="shared" si="14"/>
        <v>100</v>
      </c>
      <c r="X29" s="1554"/>
      <c r="Y29" s="3394"/>
      <c r="Z29" s="1562">
        <f t="shared" si="15"/>
        <v>111</v>
      </c>
      <c r="AA29" s="1563">
        <f t="shared" si="3"/>
        <v>1</v>
      </c>
      <c r="AB29" s="1563">
        <f t="shared" si="4"/>
        <v>1</v>
      </c>
      <c r="AC29" s="1563">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394"/>
      <c r="Q30" s="1559">
        <f t="shared" si="11"/>
        <v>111</v>
      </c>
      <c r="R30" s="1560" t="s">
        <v>11</v>
      </c>
      <c r="S30" s="1561">
        <f t="shared" si="12"/>
        <v>100</v>
      </c>
      <c r="T30" s="1560" t="s">
        <v>11</v>
      </c>
      <c r="U30" s="1561">
        <f t="shared" si="13"/>
        <v>100</v>
      </c>
      <c r="V30" s="1560" t="s">
        <v>11</v>
      </c>
      <c r="W30" s="1561">
        <f t="shared" si="14"/>
        <v>100</v>
      </c>
      <c r="X30" s="1554"/>
      <c r="Y30" s="3394"/>
      <c r="Z30" s="1562">
        <f t="shared" si="15"/>
        <v>111</v>
      </c>
      <c r="AA30" s="1563">
        <f t="shared" si="3"/>
        <v>1</v>
      </c>
      <c r="AB30" s="1563">
        <f t="shared" si="4"/>
        <v>1</v>
      </c>
      <c r="AC30" s="1563">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394"/>
      <c r="Q31" s="1559">
        <f t="shared" si="11"/>
        <v>111</v>
      </c>
      <c r="R31" s="1560" t="s">
        <v>11</v>
      </c>
      <c r="S31" s="1561">
        <f t="shared" si="12"/>
        <v>100</v>
      </c>
      <c r="T31" s="1560" t="s">
        <v>11</v>
      </c>
      <c r="U31" s="1561">
        <f t="shared" si="13"/>
        <v>100</v>
      </c>
      <c r="V31" s="1560" t="s">
        <v>11</v>
      </c>
      <c r="W31" s="1561">
        <f t="shared" si="14"/>
        <v>100</v>
      </c>
      <c r="X31" s="1554"/>
      <c r="Y31" s="3394"/>
      <c r="Z31" s="1562">
        <f t="shared" si="15"/>
        <v>111</v>
      </c>
      <c r="AA31" s="1563">
        <f t="shared" si="3"/>
        <v>1</v>
      </c>
      <c r="AB31" s="1563">
        <f t="shared" si="4"/>
        <v>1</v>
      </c>
      <c r="AC31" s="1563">
        <f t="shared" si="5"/>
        <v>1</v>
      </c>
    </row>
    <row r="32" spans="1:29" ht="15">
      <c r="A32" s="2863" t="s">
        <v>2750</v>
      </c>
      <c r="B32" s="172" t="s">
        <v>725</v>
      </c>
      <c r="C32" s="878" t="s">
        <v>3115</v>
      </c>
      <c r="D32" s="597">
        <v>100</v>
      </c>
      <c r="E32" s="878" t="s">
        <v>3115</v>
      </c>
      <c r="F32" s="575">
        <f>SUMIF(100:100,E32,101:101)-SUMIF(100:100,C32,101:101)+100</f>
        <v>100</v>
      </c>
      <c r="G32" s="878" t="s">
        <v>3117</v>
      </c>
      <c r="H32" s="597">
        <f>SUMIF(100:100,G32,101:101)-SUMIF(100:100,C32,101:101)+100</f>
        <v>102</v>
      </c>
      <c r="I32" s="879" t="s">
        <v>3115</v>
      </c>
      <c r="J32" s="540">
        <f>SUMIF(100:100,I32,101:101)-SUMIF(100:100,C32,101:101)+100</f>
        <v>100</v>
      </c>
      <c r="K32" s="864">
        <v>2</v>
      </c>
      <c r="L32" s="2128"/>
      <c r="M32" s="2120"/>
      <c r="N32" s="2120"/>
      <c r="O32" s="2127"/>
      <c r="P32" s="3395" t="s">
        <v>550</v>
      </c>
      <c r="Q32" s="1559" t="str">
        <f t="shared" si="11"/>
        <v>建筑类型</v>
      </c>
      <c r="R32" s="1560" t="s">
        <v>11</v>
      </c>
      <c r="S32" s="1561">
        <f t="shared" si="12"/>
        <v>100</v>
      </c>
      <c r="T32" s="1560" t="s">
        <v>11</v>
      </c>
      <c r="U32" s="1561">
        <f t="shared" si="13"/>
        <v>102</v>
      </c>
      <c r="V32" s="1560" t="s">
        <v>11</v>
      </c>
      <c r="W32" s="1561">
        <f t="shared" si="14"/>
        <v>100</v>
      </c>
      <c r="X32" s="1554"/>
      <c r="Y32" s="3396" t="s">
        <v>550</v>
      </c>
      <c r="Z32" s="1562" t="str">
        <f t="shared" si="15"/>
        <v>建筑类型</v>
      </c>
      <c r="AA32" s="1563">
        <f t="shared" si="3"/>
        <v>1</v>
      </c>
      <c r="AB32" s="1563">
        <f t="shared" si="4"/>
        <v>0.98039215686274506</v>
      </c>
      <c r="AC32" s="1563">
        <f t="shared" si="5"/>
        <v>1</v>
      </c>
    </row>
    <row r="33" spans="1:29" s="1335" customFormat="1" ht="15">
      <c r="A33" s="603"/>
      <c r="B33" s="527" t="s">
        <v>726</v>
      </c>
      <c r="C33" s="880">
        <f>'数据-汇总表'!E3</f>
        <v>310119.66000000003</v>
      </c>
      <c r="D33" s="255">
        <v>100</v>
      </c>
      <c r="E33" s="534">
        <v>274085</v>
      </c>
      <c r="F33" s="863">
        <f>LOOKUP(E33,103:103,104:104)-LOOKUP(C33,103:103,104:104)+100</f>
        <v>100</v>
      </c>
      <c r="G33" s="533">
        <v>391827</v>
      </c>
      <c r="H33" s="255">
        <f>LOOKUP(G33,103:103,104:104)-LOOKUP(C33,103:103,104:104)+100</f>
        <v>100</v>
      </c>
      <c r="I33" s="534">
        <v>350000</v>
      </c>
      <c r="J33" s="255">
        <f>LOOKUP(I33,103:103,104:104)-LOOKUP(C33,103:103,104:104)+100</f>
        <v>100</v>
      </c>
      <c r="K33" s="865"/>
      <c r="L33" s="2126"/>
      <c r="M33" s="2157"/>
      <c r="N33" s="2157"/>
      <c r="O33" s="2129"/>
      <c r="P33" s="3396"/>
      <c r="Q33" s="1591" t="str">
        <f t="shared" si="11"/>
        <v>项目建筑规模</v>
      </c>
      <c r="R33" s="1564" t="s">
        <v>11</v>
      </c>
      <c r="S33" s="1565">
        <f t="shared" si="12"/>
        <v>100</v>
      </c>
      <c r="T33" s="1564" t="s">
        <v>11</v>
      </c>
      <c r="U33" s="1565">
        <f t="shared" si="13"/>
        <v>100</v>
      </c>
      <c r="V33" s="1564" t="s">
        <v>11</v>
      </c>
      <c r="W33" s="1565">
        <f t="shared" si="14"/>
        <v>100</v>
      </c>
      <c r="X33" s="1566"/>
      <c r="Y33" s="3396"/>
      <c r="Z33" s="1567" t="str">
        <f t="shared" si="15"/>
        <v>项目建筑规模</v>
      </c>
      <c r="AA33" s="1563">
        <f t="shared" si="3"/>
        <v>1</v>
      </c>
      <c r="AB33" s="1563">
        <f t="shared" si="4"/>
        <v>1</v>
      </c>
      <c r="AC33" s="1563">
        <f t="shared" si="5"/>
        <v>1</v>
      </c>
    </row>
    <row r="34" spans="1:29" ht="15">
      <c r="A34" s="594"/>
      <c r="B34" s="527" t="s">
        <v>727</v>
      </c>
      <c r="C34" s="881" t="s">
        <v>3019</v>
      </c>
      <c r="D34" s="540">
        <v>100</v>
      </c>
      <c r="E34" s="881" t="s">
        <v>3019</v>
      </c>
      <c r="F34" s="575">
        <f>SUMIF(105:105,E34,106:106)-SUMIF(105:105,C34,106:106)+100</f>
        <v>100</v>
      </c>
      <c r="G34" s="881" t="s">
        <v>3019</v>
      </c>
      <c r="H34" s="540">
        <f>SUMIF(105:105,G34,106:106)-SUMIF(105:105,C34,106:106)+100</f>
        <v>100</v>
      </c>
      <c r="I34" s="881" t="s">
        <v>3019</v>
      </c>
      <c r="J34" s="540">
        <f>SUMIF(105:105,I34,106:106)-SUMIF(105:105,C34,106:106)+100</f>
        <v>100</v>
      </c>
      <c r="K34" s="864">
        <v>2</v>
      </c>
      <c r="L34" s="2128"/>
      <c r="M34" s="2120"/>
      <c r="N34" s="2120"/>
      <c r="O34" s="2127"/>
      <c r="P34" s="3396"/>
      <c r="Q34" s="1559" t="str">
        <f t="shared" si="11"/>
        <v>建筑结构</v>
      </c>
      <c r="R34" s="1560" t="s">
        <v>11</v>
      </c>
      <c r="S34" s="1561">
        <f t="shared" si="12"/>
        <v>100</v>
      </c>
      <c r="T34" s="1560" t="s">
        <v>11</v>
      </c>
      <c r="U34" s="1561">
        <f t="shared" si="13"/>
        <v>100</v>
      </c>
      <c r="V34" s="1560" t="s">
        <v>11</v>
      </c>
      <c r="W34" s="1561">
        <f t="shared" si="14"/>
        <v>100</v>
      </c>
      <c r="X34" s="1554"/>
      <c r="Y34" s="3396"/>
      <c r="Z34" s="1562" t="str">
        <f t="shared" si="15"/>
        <v>建筑结构</v>
      </c>
      <c r="AA34" s="1563">
        <f t="shared" si="3"/>
        <v>1</v>
      </c>
      <c r="AB34" s="1563">
        <f t="shared" si="4"/>
        <v>1</v>
      </c>
      <c r="AC34" s="1563">
        <f t="shared" si="5"/>
        <v>1</v>
      </c>
    </row>
    <row r="35" spans="1:29" ht="15" hidden="1">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8"/>
      <c r="M35" s="2120"/>
      <c r="N35" s="2120"/>
      <c r="O35" s="2127"/>
      <c r="P35" s="3396"/>
      <c r="Q35" s="1559" t="str">
        <f t="shared" si="11"/>
        <v>建筑品质</v>
      </c>
      <c r="R35" s="1560" t="s">
        <v>11</v>
      </c>
      <c r="S35" s="1561">
        <f t="shared" si="12"/>
        <v>100</v>
      </c>
      <c r="T35" s="1560" t="s">
        <v>11</v>
      </c>
      <c r="U35" s="1561">
        <f t="shared" si="13"/>
        <v>100</v>
      </c>
      <c r="V35" s="1560" t="s">
        <v>11</v>
      </c>
      <c r="W35" s="1561">
        <f t="shared" si="14"/>
        <v>100</v>
      </c>
      <c r="X35" s="1554"/>
      <c r="Y35" s="3396"/>
      <c r="Z35" s="1562" t="str">
        <f t="shared" si="15"/>
        <v>建筑品质</v>
      </c>
      <c r="AA35" s="1563">
        <f t="shared" si="3"/>
        <v>1</v>
      </c>
      <c r="AB35" s="1563">
        <f t="shared" si="4"/>
        <v>1</v>
      </c>
      <c r="AC35" s="1563">
        <f t="shared" si="5"/>
        <v>1</v>
      </c>
    </row>
    <row r="36" spans="1:29" ht="15" hidden="1">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8"/>
      <c r="M36" s="2120"/>
      <c r="N36" s="2120"/>
      <c r="O36" s="2127"/>
      <c r="P36" s="3396"/>
      <c r="Q36" s="1559" t="str">
        <f t="shared" si="11"/>
        <v>公共部分装修</v>
      </c>
      <c r="R36" s="1560" t="s">
        <v>11</v>
      </c>
      <c r="S36" s="1561">
        <f t="shared" si="12"/>
        <v>100</v>
      </c>
      <c r="T36" s="1560" t="s">
        <v>11</v>
      </c>
      <c r="U36" s="1561">
        <f t="shared" si="13"/>
        <v>100</v>
      </c>
      <c r="V36" s="1560" t="s">
        <v>11</v>
      </c>
      <c r="W36" s="1561">
        <f t="shared" si="14"/>
        <v>100</v>
      </c>
      <c r="X36" s="1554"/>
      <c r="Y36" s="3396"/>
      <c r="Z36" s="1562" t="str">
        <f t="shared" si="15"/>
        <v>公共部分装修</v>
      </c>
      <c r="AA36" s="1563">
        <f t="shared" si="3"/>
        <v>1</v>
      </c>
      <c r="AB36" s="1563">
        <f t="shared" si="4"/>
        <v>1</v>
      </c>
      <c r="AC36" s="1563">
        <f t="shared" si="5"/>
        <v>1</v>
      </c>
    </row>
    <row r="37" spans="1:29" s="1216" customFormat="1" ht="15">
      <c r="A37" s="600"/>
      <c r="B37" s="527" t="s">
        <v>730</v>
      </c>
      <c r="C37" s="883">
        <v>1</v>
      </c>
      <c r="D37" s="255">
        <v>100</v>
      </c>
      <c r="E37" s="884">
        <f>C37</f>
        <v>1</v>
      </c>
      <c r="F37" s="863">
        <f>LOOKUP(E37,112:112,113:113)-LOOKUP(C37,112:112,113:113)+100</f>
        <v>100</v>
      </c>
      <c r="G37" s="885">
        <f>C37</f>
        <v>1</v>
      </c>
      <c r="H37" s="255">
        <f>LOOKUP(G37,112:112,113:113)-LOOKUP(C37,112:112,113:113)+100</f>
        <v>100</v>
      </c>
      <c r="I37" s="884">
        <f>C37</f>
        <v>1</v>
      </c>
      <c r="J37" s="255">
        <f>LOOKUP(I37,112:112,113:113)-LOOKUP(C37,112:112,113:113)+100</f>
        <v>100</v>
      </c>
      <c r="K37" s="864">
        <v>1</v>
      </c>
      <c r="L37" s="2121"/>
      <c r="M37" s="2122"/>
      <c r="N37" s="2122"/>
      <c r="O37" s="2123"/>
      <c r="P37" s="3396"/>
      <c r="Q37" s="1147" t="str">
        <f t="shared" si="11"/>
        <v>成新度</v>
      </c>
      <c r="R37" s="1555" t="s">
        <v>11</v>
      </c>
      <c r="S37" s="1556">
        <f t="shared" si="12"/>
        <v>100</v>
      </c>
      <c r="T37" s="1555" t="s">
        <v>11</v>
      </c>
      <c r="U37" s="1556">
        <f t="shared" si="13"/>
        <v>100</v>
      </c>
      <c r="V37" s="1555" t="s">
        <v>11</v>
      </c>
      <c r="W37" s="1556">
        <f t="shared" si="14"/>
        <v>100</v>
      </c>
      <c r="X37" s="1557"/>
      <c r="Y37" s="3396"/>
      <c r="Z37" s="1146" t="str">
        <f t="shared" si="15"/>
        <v>成新度</v>
      </c>
      <c r="AA37" s="1558">
        <f t="shared" si="3"/>
        <v>1</v>
      </c>
      <c r="AB37" s="1558">
        <f t="shared" si="4"/>
        <v>1</v>
      </c>
      <c r="AC37" s="1558">
        <f t="shared" si="5"/>
        <v>1</v>
      </c>
    </row>
    <row r="38" spans="1:29" ht="15" hidden="1">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8"/>
      <c r="M38" s="2120"/>
      <c r="N38" s="2120"/>
      <c r="O38" s="2127"/>
      <c r="P38" s="3396" t="s">
        <v>550</v>
      </c>
      <c r="Q38" s="1559" t="str">
        <f t="shared" si="11"/>
        <v>物业管理</v>
      </c>
      <c r="R38" s="1560" t="s">
        <v>11</v>
      </c>
      <c r="S38" s="1561">
        <f t="shared" si="12"/>
        <v>100</v>
      </c>
      <c r="T38" s="1560" t="s">
        <v>11</v>
      </c>
      <c r="U38" s="1561">
        <f t="shared" si="13"/>
        <v>100</v>
      </c>
      <c r="V38" s="1560" t="s">
        <v>11</v>
      </c>
      <c r="W38" s="1561">
        <f t="shared" si="14"/>
        <v>100</v>
      </c>
      <c r="X38" s="1554"/>
      <c r="Y38" s="3396" t="s">
        <v>550</v>
      </c>
      <c r="Z38" s="1562" t="str">
        <f t="shared" si="15"/>
        <v>物业管理</v>
      </c>
      <c r="AA38" s="1563">
        <f t="shared" si="3"/>
        <v>1</v>
      </c>
      <c r="AB38" s="1563">
        <f t="shared" si="4"/>
        <v>1</v>
      </c>
      <c r="AC38" s="1563">
        <f t="shared" si="5"/>
        <v>1</v>
      </c>
    </row>
    <row r="39" spans="1:29" ht="15">
      <c r="A39" s="594"/>
      <c r="B39" s="1881" t="s">
        <v>2560</v>
      </c>
      <c r="C39" s="599" t="s">
        <v>3094</v>
      </c>
      <c r="D39" s="540">
        <v>100</v>
      </c>
      <c r="E39" s="599" t="s">
        <v>3094</v>
      </c>
      <c r="F39" s="575">
        <f>SUMIF(116:116,E39,117:117)-SUMIF(116:116,C39,117:117)+100</f>
        <v>100</v>
      </c>
      <c r="G39" s="599" t="s">
        <v>3094</v>
      </c>
      <c r="H39" s="540">
        <f>SUMIF(116:116,G39,117:117)-SUMIF(116:116,C39,117:117)+100</f>
        <v>100</v>
      </c>
      <c r="I39" s="599" t="s">
        <v>3094</v>
      </c>
      <c r="J39" s="540">
        <f>SUMIF(116:116,I39,117:117)-SUMIF(116:116,C39,117:117)+100</f>
        <v>100</v>
      </c>
      <c r="K39" s="864">
        <v>1</v>
      </c>
      <c r="L39" s="2128"/>
      <c r="M39" s="2120"/>
      <c r="N39" s="2120"/>
      <c r="O39" s="2127"/>
      <c r="P39" s="3396"/>
      <c r="Q39" s="1559" t="str">
        <f t="shared" si="11"/>
        <v>市政基础设施</v>
      </c>
      <c r="R39" s="1560" t="s">
        <v>11</v>
      </c>
      <c r="S39" s="1561">
        <f t="shared" si="12"/>
        <v>100</v>
      </c>
      <c r="T39" s="1560" t="s">
        <v>11</v>
      </c>
      <c r="U39" s="1561">
        <f t="shared" si="13"/>
        <v>100</v>
      </c>
      <c r="V39" s="1560" t="s">
        <v>11</v>
      </c>
      <c r="W39" s="1561">
        <f t="shared" si="14"/>
        <v>100</v>
      </c>
      <c r="X39" s="1554"/>
      <c r="Y39" s="3396"/>
      <c r="Z39" s="1562" t="str">
        <f t="shared" si="15"/>
        <v>市政基础设施</v>
      </c>
      <c r="AA39" s="1563">
        <f t="shared" si="3"/>
        <v>1</v>
      </c>
      <c r="AB39" s="1563">
        <f t="shared" si="4"/>
        <v>1</v>
      </c>
      <c r="AC39" s="1563">
        <f t="shared" si="5"/>
        <v>1</v>
      </c>
    </row>
    <row r="40" spans="1:29" ht="15" hidden="1">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396"/>
      <c r="Q40" s="1559" t="str">
        <f t="shared" si="11"/>
        <v>房型</v>
      </c>
      <c r="R40" s="1560" t="s">
        <v>11</v>
      </c>
      <c r="S40" s="1561">
        <f t="shared" si="12"/>
        <v>100</v>
      </c>
      <c r="T40" s="1560" t="s">
        <v>11</v>
      </c>
      <c r="U40" s="1561">
        <f t="shared" si="13"/>
        <v>100</v>
      </c>
      <c r="V40" s="1560" t="s">
        <v>11</v>
      </c>
      <c r="W40" s="1561">
        <f t="shared" si="14"/>
        <v>100</v>
      </c>
      <c r="X40" s="1554"/>
      <c r="Y40" s="3396"/>
      <c r="Z40" s="1562" t="str">
        <f t="shared" si="15"/>
        <v>房型</v>
      </c>
      <c r="AA40" s="1563">
        <f t="shared" si="3"/>
        <v>1</v>
      </c>
      <c r="AB40" s="1563">
        <f t="shared" si="4"/>
        <v>1</v>
      </c>
      <c r="AC40" s="1563">
        <f t="shared" si="5"/>
        <v>1</v>
      </c>
    </row>
    <row r="41" spans="1:29" s="1335" customFormat="1" ht="28.5" hidden="1">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396"/>
      <c r="Q41" s="1591" t="str">
        <f t="shared" si="11"/>
        <v>单套/主力户型建筑面积</v>
      </c>
      <c r="R41" s="1564" t="s">
        <v>11</v>
      </c>
      <c r="S41" s="1565">
        <f t="shared" si="12"/>
        <v>100</v>
      </c>
      <c r="T41" s="1564" t="s">
        <v>11</v>
      </c>
      <c r="U41" s="1565">
        <f t="shared" si="13"/>
        <v>100</v>
      </c>
      <c r="V41" s="1564" t="s">
        <v>11</v>
      </c>
      <c r="W41" s="1565">
        <f t="shared" si="14"/>
        <v>100</v>
      </c>
      <c r="X41" s="1566"/>
      <c r="Y41" s="3396"/>
      <c r="Z41" s="1567" t="str">
        <f t="shared" si="15"/>
        <v>单套/主力户型建筑面积</v>
      </c>
      <c r="AA41" s="1563">
        <f t="shared" si="3"/>
        <v>1</v>
      </c>
      <c r="AB41" s="1563">
        <f t="shared" si="4"/>
        <v>1</v>
      </c>
      <c r="AC41" s="1563">
        <f t="shared" si="5"/>
        <v>1</v>
      </c>
    </row>
    <row r="42" spans="1:29" ht="15.75" thickBot="1">
      <c r="A42" s="594"/>
      <c r="B42" s="527" t="s">
        <v>734</v>
      </c>
      <c r="C42" s="599" t="s">
        <v>3125</v>
      </c>
      <c r="D42" s="540">
        <v>100</v>
      </c>
      <c r="E42" s="874" t="s">
        <v>3125</v>
      </c>
      <c r="F42" s="575">
        <f>SUMIF(122:122,E42,123:123)-SUMIF(122:122,C42,123:123)+100</f>
        <v>100</v>
      </c>
      <c r="G42" s="599" t="s">
        <v>3125</v>
      </c>
      <c r="H42" s="540">
        <f>SUMIF(122:122,G42,123:123)-SUMIF(122:122,C42,123:123)+100</f>
        <v>100</v>
      </c>
      <c r="I42" s="874" t="s">
        <v>3125</v>
      </c>
      <c r="J42" s="540">
        <f>SUMIF(122:122,I42,123:123)-SUMIF(122:122,C42,123:123)+100</f>
        <v>100</v>
      </c>
      <c r="K42" s="864">
        <v>2</v>
      </c>
      <c r="L42" s="2128"/>
      <c r="M42" s="2120"/>
      <c r="N42" s="2120"/>
      <c r="O42" s="2127"/>
      <c r="P42" s="3396"/>
      <c r="Q42" s="1559" t="str">
        <f t="shared" si="11"/>
        <v>内部装修</v>
      </c>
      <c r="R42" s="1560" t="s">
        <v>11</v>
      </c>
      <c r="S42" s="1561">
        <f t="shared" si="12"/>
        <v>100</v>
      </c>
      <c r="T42" s="1560" t="s">
        <v>11</v>
      </c>
      <c r="U42" s="1561">
        <f t="shared" si="13"/>
        <v>100</v>
      </c>
      <c r="V42" s="1560" t="s">
        <v>11</v>
      </c>
      <c r="W42" s="1561">
        <f t="shared" si="14"/>
        <v>100</v>
      </c>
      <c r="X42" s="1554"/>
      <c r="Y42" s="3396"/>
      <c r="Z42" s="1562" t="str">
        <f t="shared" si="15"/>
        <v>内部装修</v>
      </c>
      <c r="AA42" s="1563">
        <f t="shared" si="3"/>
        <v>1</v>
      </c>
      <c r="AB42" s="1563">
        <f t="shared" si="4"/>
        <v>1</v>
      </c>
      <c r="AC42" s="1563">
        <f t="shared" si="5"/>
        <v>1</v>
      </c>
    </row>
    <row r="43" spans="1:29" ht="27" hidden="1">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396"/>
      <c r="Q43" s="1559" t="str">
        <f t="shared" si="11"/>
        <v>内部装修维护情况</v>
      </c>
      <c r="R43" s="1560" t="s">
        <v>11</v>
      </c>
      <c r="S43" s="1561">
        <f t="shared" si="12"/>
        <v>100</v>
      </c>
      <c r="T43" s="1560" t="s">
        <v>11</v>
      </c>
      <c r="U43" s="1561">
        <f t="shared" si="13"/>
        <v>100</v>
      </c>
      <c r="V43" s="1560" t="s">
        <v>11</v>
      </c>
      <c r="W43" s="1561">
        <f t="shared" si="14"/>
        <v>100</v>
      </c>
      <c r="X43" s="1554"/>
      <c r="Y43" s="3396"/>
      <c r="Z43" s="1562" t="str">
        <f t="shared" si="15"/>
        <v>内部装修维护情况</v>
      </c>
      <c r="AA43" s="1563">
        <f t="shared" si="3"/>
        <v>1</v>
      </c>
      <c r="AB43" s="1563">
        <f t="shared" si="4"/>
        <v>1</v>
      </c>
      <c r="AC43" s="1563">
        <f t="shared" si="5"/>
        <v>1</v>
      </c>
    </row>
    <row r="44" spans="1:29" s="1216" customFormat="1" ht="15" hidden="1">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396"/>
      <c r="Q44" s="1147">
        <f t="shared" si="11"/>
        <v>111</v>
      </c>
      <c r="R44" s="1555" t="s">
        <v>11</v>
      </c>
      <c r="S44" s="1556">
        <f t="shared" si="12"/>
        <v>100</v>
      </c>
      <c r="T44" s="1555" t="s">
        <v>11</v>
      </c>
      <c r="U44" s="1556">
        <f t="shared" si="13"/>
        <v>100</v>
      </c>
      <c r="V44" s="1555" t="s">
        <v>11</v>
      </c>
      <c r="W44" s="1556">
        <f t="shared" si="14"/>
        <v>100</v>
      </c>
      <c r="X44" s="1557"/>
      <c r="Y44" s="3396"/>
      <c r="Z44" s="1146">
        <f t="shared" si="15"/>
        <v>111</v>
      </c>
      <c r="AA44" s="1558">
        <f t="shared" si="3"/>
        <v>1</v>
      </c>
      <c r="AB44" s="1558">
        <f t="shared" si="4"/>
        <v>1</v>
      </c>
      <c r="AC44" s="1558">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396"/>
      <c r="Q45" s="1559">
        <f t="shared" si="11"/>
        <v>111</v>
      </c>
      <c r="R45" s="1560" t="s">
        <v>11</v>
      </c>
      <c r="S45" s="1561">
        <f t="shared" si="12"/>
        <v>100</v>
      </c>
      <c r="T45" s="1560" t="s">
        <v>11</v>
      </c>
      <c r="U45" s="1561">
        <f t="shared" si="13"/>
        <v>100</v>
      </c>
      <c r="V45" s="1560" t="s">
        <v>11</v>
      </c>
      <c r="W45" s="1561">
        <f t="shared" si="14"/>
        <v>100</v>
      </c>
      <c r="X45" s="1554"/>
      <c r="Y45" s="3396"/>
      <c r="Z45" s="1562">
        <f t="shared" si="15"/>
        <v>111</v>
      </c>
      <c r="AA45" s="1563">
        <f t="shared" si="3"/>
        <v>1</v>
      </c>
      <c r="AB45" s="1563">
        <f t="shared" si="4"/>
        <v>1</v>
      </c>
      <c r="AC45" s="1563">
        <f t="shared" si="5"/>
        <v>1</v>
      </c>
    </row>
    <row r="46" spans="1:29" ht="15.75" hidden="1"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54"/>
      <c r="Q46" s="1559">
        <f t="shared" si="11"/>
        <v>111</v>
      </c>
      <c r="R46" s="1560" t="s">
        <v>10</v>
      </c>
      <c r="S46" s="1561">
        <f t="shared" si="12"/>
        <v>100</v>
      </c>
      <c r="T46" s="1560" t="s">
        <v>10</v>
      </c>
      <c r="U46" s="1561">
        <f t="shared" si="13"/>
        <v>100</v>
      </c>
      <c r="V46" s="1560" t="s">
        <v>10</v>
      </c>
      <c r="W46" s="1561">
        <f t="shared" si="14"/>
        <v>100</v>
      </c>
      <c r="X46" s="1554"/>
      <c r="Y46" s="3454"/>
      <c r="Z46" s="1562">
        <f t="shared" si="15"/>
        <v>111</v>
      </c>
      <c r="AA46" s="1563">
        <f t="shared" si="3"/>
        <v>1</v>
      </c>
      <c r="AB46" s="1563">
        <f t="shared" si="4"/>
        <v>1</v>
      </c>
      <c r="AC46" s="1563">
        <f t="shared" si="5"/>
        <v>1</v>
      </c>
    </row>
    <row r="47" spans="1:29" ht="15">
      <c r="A47" s="607" t="s">
        <v>736</v>
      </c>
      <c r="B47" s="887"/>
      <c r="C47" s="2592" t="s">
        <v>9</v>
      </c>
      <c r="D47" s="2593"/>
      <c r="E47" s="2594">
        <f>ROUND(6888*L47,0)</f>
        <v>6750</v>
      </c>
      <c r="F47" s="2595"/>
      <c r="G47" s="2596">
        <f>ROUND(7200*L47,0)</f>
        <v>7056</v>
      </c>
      <c r="H47" s="2597"/>
      <c r="I47" s="2594">
        <f>ROUND(6000,0)</f>
        <v>6000</v>
      </c>
      <c r="J47" s="2597"/>
      <c r="K47" s="1592"/>
      <c r="L47" s="2130">
        <v>0.98</v>
      </c>
      <c r="M47" s="2131"/>
      <c r="N47" s="2120"/>
      <c r="O47" s="2131"/>
      <c r="P47" s="3359" t="str">
        <f>A47</f>
        <v>成交单价（元/平方米）</v>
      </c>
      <c r="Q47" s="3359"/>
      <c r="R47" s="3453">
        <f>E47</f>
        <v>6750</v>
      </c>
      <c r="S47" s="3453"/>
      <c r="T47" s="3453">
        <f>G47</f>
        <v>7056</v>
      </c>
      <c r="U47" s="3453"/>
      <c r="V47" s="3453">
        <f>I47</f>
        <v>6000</v>
      </c>
      <c r="W47" s="3453"/>
      <c r="X47" s="1546"/>
      <c r="Y47" s="1568"/>
      <c r="Z47" s="1546"/>
      <c r="AA47" s="1546"/>
      <c r="AB47" s="1546"/>
      <c r="AC47" s="1546"/>
    </row>
    <row r="48" spans="1:29" ht="15.75" thickBot="1">
      <c r="A48" s="615" t="s">
        <v>2755</v>
      </c>
      <c r="B48" s="888"/>
      <c r="C48" s="2598">
        <f>R49</f>
        <v>6467</v>
      </c>
      <c r="D48" s="2599"/>
      <c r="E48" s="2600">
        <f>R48</f>
        <v>6618</v>
      </c>
      <c r="F48" s="2600"/>
      <c r="G48" s="2598">
        <f>T48</f>
        <v>6782</v>
      </c>
      <c r="H48" s="2599"/>
      <c r="I48" s="2600">
        <f>V48</f>
        <v>6000</v>
      </c>
      <c r="J48" s="2599"/>
      <c r="K48" s="1593"/>
      <c r="L48" s="2130"/>
      <c r="M48" s="2131"/>
      <c r="N48" s="2131"/>
      <c r="O48" s="2131"/>
      <c r="P48" s="3359" t="str">
        <f>A48</f>
        <v>比较价格（元/平方米）</v>
      </c>
      <c r="Q48" s="3359"/>
      <c r="R48" s="3453">
        <f>IF(F1="售价",ROUND(PRODUCT(R47,AA7:AA46),0),ROUND(PRODUCT(R47,AA7:AA46),1))</f>
        <v>6618</v>
      </c>
      <c r="S48" s="3453"/>
      <c r="T48" s="3453">
        <f>IF(F1="售价",ROUND(PRODUCT(T47,AB7:AB46),0),ROUND(PRODUCT(T47,AB7:AB46),1))</f>
        <v>6782</v>
      </c>
      <c r="U48" s="3453"/>
      <c r="V48" s="3453">
        <f>IF(F1="售价",ROUND(PRODUCT(V47,AC7:AC46),0),ROUND(PRODUCT(V47,AC7:AC46),1))</f>
        <v>6000</v>
      </c>
      <c r="W48" s="3453"/>
      <c r="X48" s="1546"/>
      <c r="Y48" s="1546"/>
      <c r="Z48" s="1546"/>
      <c r="AA48" s="1546"/>
      <c r="AB48" s="1546"/>
      <c r="AC48" s="1546"/>
    </row>
    <row r="49" spans="1:29" ht="15.75" thickBot="1">
      <c r="A49" s="621" t="s">
        <v>2931</v>
      </c>
      <c r="B49" s="622"/>
      <c r="C49" s="2601">
        <f>R49</f>
        <v>6467</v>
      </c>
      <c r="D49" s="2601"/>
      <c r="E49" s="2601"/>
      <c r="F49" s="2601"/>
      <c r="G49" s="2601"/>
      <c r="H49" s="2601"/>
      <c r="I49" s="2601"/>
      <c r="J49" s="2601"/>
      <c r="K49" s="1594"/>
      <c r="L49" s="2130"/>
      <c r="M49" s="2131"/>
      <c r="N49" s="2131"/>
      <c r="O49" s="2131"/>
      <c r="P49" s="3356" t="str">
        <f>A49</f>
        <v>估价对象XX用房的比较价格（楼面单价，元/平方米）</v>
      </c>
      <c r="Q49" s="3357"/>
      <c r="R49" s="3452">
        <f>IF(F1="售价",ROUND(AVERAGE(R48:V48),0),ROUND(AVERAGE(R48:V48),1))</f>
        <v>6467</v>
      </c>
      <c r="S49" s="3452"/>
      <c r="T49" s="3452"/>
      <c r="U49" s="3452"/>
      <c r="V49" s="3452"/>
      <c r="W49" s="3452"/>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1.9945602901178638E-2</v>
      </c>
      <c r="F52" s="627" t="str">
        <f>IF(OR(E52&gt;=0.3,E52&lt;=-0.3),"超过30%","")</f>
        <v/>
      </c>
      <c r="G52" s="626">
        <f>IF(G47&lt;G48,G48/G47-1,G47/G48-1)</f>
        <v>4.0401061633736468E-2</v>
      </c>
      <c r="H52" s="627" t="str">
        <f>IF(OR(G52&gt;=0.3,G52&lt;=-0.3),"超过30%","")</f>
        <v/>
      </c>
      <c r="I52" s="626">
        <f>IF(I47&lt;I48,I48/I47-1,I47/I48-1)</f>
        <v>0</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2.4780900574191689E-2</v>
      </c>
      <c r="F53" s="627" t="str">
        <f>IF(OR(E53&gt;=0.2,E53&lt;=-0.2),"超过20%","")</f>
        <v/>
      </c>
      <c r="G53" s="626">
        <f>IF(G48&lt;I48,I48/G48-1,G48/I48-1)</f>
        <v>0.13033333333333341</v>
      </c>
      <c r="H53" s="627" t="str">
        <f>IF(OR(G53&gt;=0.2,G53&lt;=-0.2),"超过20%","")</f>
        <v/>
      </c>
      <c r="I53" s="626">
        <f>IF(I48&lt;E48,E48/I48-1,I48/E48-1)</f>
        <v>0.10299999999999998</v>
      </c>
      <c r="J53" s="627" t="str">
        <f>IF(OR(I53&gt;=0.2,I53&lt;=-0.2),"超过20%","")</f>
        <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4.5333333333333226E-2</v>
      </c>
      <c r="F54" s="627" t="str">
        <f>IF(OR(E54&gt;=0.3,E54&lt;=-0.3),"超过30%","")</f>
        <v/>
      </c>
      <c r="G54" s="626">
        <f>IF(G47&lt;I47,I47/G47-1,G47/I47-1)</f>
        <v>0.17599999999999993</v>
      </c>
      <c r="H54" s="627" t="str">
        <f>IF(OR(G54&gt;=0.3,G54&lt;=-0.3),"超过30%","")</f>
        <v/>
      </c>
      <c r="I54" s="626">
        <f>IF(I47&lt;E47,E47/I47-1,I47/E47-1)</f>
        <v>0.125</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2020-4</v>
      </c>
      <c r="D58" s="2760">
        <f>EDATE(C58,-1)</f>
        <v>43891</v>
      </c>
      <c r="E58" s="2760">
        <f t="shared" ref="E58:O58" si="16">EDATE(D58,-1)</f>
        <v>43862</v>
      </c>
      <c r="F58" s="2760">
        <f t="shared" si="16"/>
        <v>43831</v>
      </c>
      <c r="G58" s="2760">
        <f t="shared" si="16"/>
        <v>43800</v>
      </c>
      <c r="H58" s="2760">
        <f t="shared" si="16"/>
        <v>43770</v>
      </c>
      <c r="I58" s="2760">
        <f t="shared" si="16"/>
        <v>43739</v>
      </c>
      <c r="J58" s="2760">
        <f t="shared" si="16"/>
        <v>43709</v>
      </c>
      <c r="K58" s="2760">
        <f t="shared" si="16"/>
        <v>43678</v>
      </c>
      <c r="L58" s="2760">
        <f t="shared" si="16"/>
        <v>43647</v>
      </c>
      <c r="M58" s="2760">
        <f t="shared" si="16"/>
        <v>43617</v>
      </c>
      <c r="N58" s="2760">
        <f t="shared" si="16"/>
        <v>43586</v>
      </c>
      <c r="O58" s="2760">
        <f t="shared" si="16"/>
        <v>43556</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t="str">
        <f>C9</f>
        <v>住宅</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99</v>
      </c>
      <c r="E66" s="679">
        <f t="shared" si="17"/>
        <v>98</v>
      </c>
      <c r="F66" s="679">
        <f t="shared" si="17"/>
        <v>97</v>
      </c>
      <c r="G66" s="679">
        <f t="shared" si="17"/>
        <v>96</v>
      </c>
      <c r="H66" s="679">
        <f t="shared" si="17"/>
        <v>95</v>
      </c>
      <c r="I66" s="679">
        <f t="shared" si="17"/>
        <v>94</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4（含）-5</v>
      </c>
      <c r="H67" s="682" t="str">
        <f t="shared" si="18"/>
        <v>5（含）-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v>5</v>
      </c>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98</v>
      </c>
      <c r="E77" s="679">
        <f>D77-$K15</f>
        <v>96</v>
      </c>
      <c r="F77" s="679">
        <f>E77-$K15</f>
        <v>94</v>
      </c>
      <c r="G77" s="679">
        <f>F77-$K15</f>
        <v>92</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98</v>
      </c>
      <c r="E79" s="679">
        <f>D79-$K17</f>
        <v>96</v>
      </c>
      <c r="F79" s="679">
        <f>E79-$K17</f>
        <v>94</v>
      </c>
      <c r="G79" s="679">
        <f>F79-$K17</f>
        <v>92</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2553</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98</v>
      </c>
      <c r="E81" s="679">
        <f>D81-$K19</f>
        <v>96</v>
      </c>
      <c r="F81" s="679">
        <f>E81-$K19</f>
        <v>94</v>
      </c>
      <c r="G81" s="679">
        <f>F81-$K19</f>
        <v>92</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2554</v>
      </c>
      <c r="C82" s="2563" t="s">
        <v>2555</v>
      </c>
      <c r="D82" s="2563" t="s">
        <v>2556</v>
      </c>
      <c r="E82" s="2563" t="s">
        <v>2557</v>
      </c>
      <c r="F82" s="2563" t="s">
        <v>2558</v>
      </c>
      <c r="G82" s="2563" t="s">
        <v>2559</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99</v>
      </c>
      <c r="E83" s="679">
        <f>D83-$K21</f>
        <v>98</v>
      </c>
      <c r="F83" s="679">
        <f>E83-$K21</f>
        <v>97</v>
      </c>
      <c r="G83" s="679">
        <f>F83-$K21</f>
        <v>96</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98</v>
      </c>
      <c r="E85" s="679">
        <f>D85-$K23</f>
        <v>96</v>
      </c>
      <c r="F85" s="679">
        <f>E85-$K23</f>
        <v>94</v>
      </c>
      <c r="G85" s="679">
        <f>F85-$K23</f>
        <v>92</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2254</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3187" t="s">
        <v>3118</v>
      </c>
      <c r="D100" s="3187" t="s">
        <v>3116</v>
      </c>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0(含)-200000</v>
      </c>
      <c r="D102" s="708" t="str">
        <f t="shared" ref="D102:L102" si="23">D103&amp;"(含)"&amp;"-"&amp;E103</f>
        <v>200000(含)-400000</v>
      </c>
      <c r="E102" s="708" t="str">
        <f t="shared" si="23"/>
        <v>400000(含)-600000</v>
      </c>
      <c r="F102" s="708" t="str">
        <f t="shared" si="23"/>
        <v>600000(含)-800000</v>
      </c>
      <c r="G102" s="708" t="str">
        <f t="shared" si="23"/>
        <v>800000(含)-1000000</v>
      </c>
      <c r="H102" s="708" t="str">
        <f t="shared" si="23"/>
        <v>1000000(含)-</v>
      </c>
      <c r="I102" s="708" t="str">
        <f t="shared" si="23"/>
        <v>(含)-</v>
      </c>
      <c r="J102" s="708" t="str">
        <f t="shared" si="23"/>
        <v>(含)-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200000</v>
      </c>
      <c r="E103" s="730">
        <v>400000</v>
      </c>
      <c r="F103" s="730">
        <v>600000</v>
      </c>
      <c r="G103" s="730">
        <v>800000</v>
      </c>
      <c r="H103" s="730">
        <v>1000000</v>
      </c>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100</v>
      </c>
      <c r="D104" s="671">
        <v>101</v>
      </c>
      <c r="E104" s="671">
        <v>102</v>
      </c>
      <c r="F104" s="671">
        <v>103</v>
      </c>
      <c r="G104" s="671">
        <v>104</v>
      </c>
      <c r="H104" s="671">
        <v>105</v>
      </c>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89" t="s">
        <v>3119</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718"/>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688"/>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3189" t="s">
        <v>3120</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2552</v>
      </c>
      <c r="C116" s="3189" t="s">
        <v>3121</v>
      </c>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89" t="s">
        <v>3122</v>
      </c>
      <c r="D122" s="3189" t="s">
        <v>3123</v>
      </c>
      <c r="E122" s="3189" t="s">
        <v>3124</v>
      </c>
      <c r="F122" s="3188" t="s">
        <v>3126</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98</v>
      </c>
      <c r="E123" s="679">
        <f t="shared" si="29"/>
        <v>96</v>
      </c>
      <c r="F123" s="679">
        <f t="shared" si="29"/>
        <v>94</v>
      </c>
      <c r="G123" s="679">
        <f t="shared" si="29"/>
        <v>92</v>
      </c>
      <c r="H123" s="679">
        <f t="shared" si="29"/>
        <v>90</v>
      </c>
      <c r="I123" s="679">
        <f t="shared" si="29"/>
        <v>88</v>
      </c>
      <c r="J123" s="679">
        <f t="shared" si="29"/>
        <v>86</v>
      </c>
      <c r="K123" s="679">
        <f t="shared" si="29"/>
        <v>84</v>
      </c>
      <c r="L123" s="679">
        <f t="shared" si="29"/>
        <v>82</v>
      </c>
      <c r="M123" s="679">
        <f t="shared" si="29"/>
        <v>80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2255</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2256</v>
      </c>
      <c r="C137" s="1905"/>
      <c r="D137" s="1905"/>
      <c r="E137" s="1905"/>
      <c r="F137" s="1905"/>
      <c r="G137" s="1906"/>
      <c r="H137" s="1907"/>
      <c r="I137" s="1908" t="s">
        <v>2257</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2258</v>
      </c>
      <c r="D138" s="1911" t="s">
        <v>2259</v>
      </c>
      <c r="E138" s="1912" t="s">
        <v>2260</v>
      </c>
      <c r="F138" s="1913" t="s">
        <v>2261</v>
      </c>
      <c r="G138" s="1911" t="s">
        <v>2262</v>
      </c>
      <c r="H138" s="1914" t="s">
        <v>2263</v>
      </c>
      <c r="I138" s="1915"/>
      <c r="J138" s="1911" t="s">
        <v>2264</v>
      </c>
      <c r="K138" s="1914" t="s">
        <v>2265</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2266</v>
      </c>
      <c r="E139" s="1885">
        <v>100</v>
      </c>
      <c r="F139" s="1886">
        <v>102.5</v>
      </c>
      <c r="G139" s="1916" t="s">
        <v>2267</v>
      </c>
      <c r="H139" s="1887">
        <v>105</v>
      </c>
      <c r="I139" s="1917" t="s">
        <v>2268</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2269</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2270</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2271</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2272</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2273</v>
      </c>
      <c r="E144" s="1891">
        <v>102</v>
      </c>
      <c r="F144" s="1897">
        <v>100</v>
      </c>
      <c r="G144" s="1920" t="s">
        <v>2273</v>
      </c>
      <c r="H144" s="1893">
        <v>105</v>
      </c>
      <c r="I144" s="1919" t="s">
        <v>2272</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2274</v>
      </c>
      <c r="C145" s="1898">
        <f>ROUND(MAX(C139:C144)/MIN(C139:C144)-1,3)</f>
        <v>7.2999999999999995E-2</v>
      </c>
      <c r="D145" s="1922"/>
      <c r="E145" s="1922"/>
      <c r="F145" s="1923" t="s">
        <v>2275</v>
      </c>
      <c r="G145" s="1924"/>
      <c r="H145" s="1925"/>
      <c r="I145" s="1926" t="s">
        <v>2272</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2284</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2285</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B16" zoomScale="80" zoomScaleNormal="80" workbookViewId="0">
      <selection activeCell="F43" sqref="F43"/>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875" style="2046" customWidth="1"/>
    <col min="6" max="6" width="10.625" style="2046" customWidth="1"/>
    <col min="7" max="7" width="4.875" style="2046" customWidth="1"/>
    <col min="8" max="8" width="8.5" style="2046" customWidth="1"/>
    <col min="9" max="9" width="21.125" style="2046" customWidth="1"/>
    <col min="10" max="10" width="12.1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8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3000</v>
      </c>
      <c r="D1" s="3078" t="s">
        <v>3016</v>
      </c>
      <c r="E1" s="2352" t="s">
        <v>2371</v>
      </c>
      <c r="F1" s="2353">
        <f ca="1">J53</f>
        <v>34.409999999999997</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33506</v>
      </c>
      <c r="C2" s="2043"/>
      <c r="D2" s="2041"/>
      <c r="E2" s="2042"/>
      <c r="F2" s="2042"/>
      <c r="G2" s="1577"/>
      <c r="H2" s="2043"/>
      <c r="I2" s="2043"/>
      <c r="J2" s="2043"/>
      <c r="K2" s="2044"/>
      <c r="L2" s="2043"/>
      <c r="M2" s="2043"/>
    </row>
    <row r="3" spans="1:33" ht="18" customHeight="1" thickBot="1">
      <c r="A3" s="833" t="s">
        <v>1727</v>
      </c>
      <c r="B3" s="834">
        <f ca="1">IF(ISERROR(B2*10000/F43),0,ROUND(B2*10000/F43,0))</f>
        <v>7203</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2454</v>
      </c>
      <c r="C5" s="55">
        <f ca="1">C6+C10+C12</f>
        <v>2295</v>
      </c>
      <c r="D5" s="2461" t="s">
        <v>2457</v>
      </c>
      <c r="E5" s="2455"/>
      <c r="F5" s="2456"/>
      <c r="G5" s="1579"/>
      <c r="H5" s="781">
        <v>1</v>
      </c>
      <c r="I5" s="782" t="s">
        <v>2454</v>
      </c>
      <c r="J5" s="55">
        <f ca="1">J6+J10+J12</f>
        <v>0</v>
      </c>
      <c r="K5" s="2461" t="s">
        <v>2457</v>
      </c>
      <c r="L5" s="2455"/>
      <c r="M5" s="2456"/>
    </row>
    <row r="6" spans="1:33" ht="18" customHeight="1">
      <c r="A6" s="1816" t="s">
        <v>1824</v>
      </c>
      <c r="B6" s="3446" t="s">
        <v>2459</v>
      </c>
      <c r="C6" s="783">
        <f ca="1">ROUND(F6*F8*F7*(1-F9)/10000,0)</f>
        <v>2292</v>
      </c>
      <c r="D6" s="2462" t="s">
        <v>2458</v>
      </c>
      <c r="E6" s="784" t="s">
        <v>1738</v>
      </c>
      <c r="F6" s="785">
        <f ca="1">INDIRECT("'数据-取费表'!u"&amp;$G$1)</f>
        <v>1.5</v>
      </c>
      <c r="G6" s="1579"/>
      <c r="H6" s="2469" t="s">
        <v>2464</v>
      </c>
      <c r="I6" s="3446" t="s">
        <v>2459</v>
      </c>
      <c r="J6" s="783">
        <f ca="1">ROUND(M6*M8*M7*(1-M9)/10000,0)</f>
        <v>0</v>
      </c>
      <c r="K6" s="341" t="s">
        <v>1737</v>
      </c>
      <c r="L6" s="784" t="s">
        <v>1738</v>
      </c>
      <c r="M6" s="785">
        <f ca="1">INDIRECT("'数据-取费表'!z"&amp;$G$1)</f>
        <v>0</v>
      </c>
    </row>
    <row r="7" spans="1:33" ht="18" customHeight="1">
      <c r="A7" s="2465"/>
      <c r="B7" s="3447"/>
      <c r="C7" s="788"/>
      <c r="D7" s="789"/>
      <c r="E7" s="784" t="s">
        <v>1739</v>
      </c>
      <c r="F7" s="785">
        <f ca="1">IF(INDIRECT("'数据-取费表'!ah"&amp;$G$1)="",INDIRECT("'数据-取费表'!k"&amp;$G$1),INDIRECT("'数据-取费表'!ah"&amp;$G$1))</f>
        <v>46517.95</v>
      </c>
      <c r="G7" s="1579"/>
      <c r="H7" s="2454"/>
      <c r="I7" s="3447"/>
      <c r="J7" s="788"/>
      <c r="K7" s="789"/>
      <c r="L7" s="784" t="s">
        <v>1739</v>
      </c>
      <c r="M7" s="785">
        <f ca="1">F7</f>
        <v>46517.95</v>
      </c>
    </row>
    <row r="8" spans="1:33" ht="18" customHeight="1">
      <c r="A8" s="2458"/>
      <c r="B8" s="3448"/>
      <c r="C8" s="788"/>
      <c r="D8" s="789"/>
      <c r="E8" s="784" t="s">
        <v>1740</v>
      </c>
      <c r="F8" s="785">
        <f ca="1">INDIRECT("'数据-取费表'!ai"&amp;$G$1)</f>
        <v>365</v>
      </c>
      <c r="G8" s="1579"/>
      <c r="H8" s="2454"/>
      <c r="I8" s="3448"/>
      <c r="J8" s="788"/>
      <c r="K8" s="789"/>
      <c r="L8" s="784" t="s">
        <v>1740</v>
      </c>
      <c r="M8" s="785">
        <f ca="1">INDIRECT("'数据-取费表'!ai"&amp;$G$1)</f>
        <v>365</v>
      </c>
    </row>
    <row r="9" spans="1:33" ht="18" customHeight="1">
      <c r="A9" s="786"/>
      <c r="B9" s="3449"/>
      <c r="C9" s="788"/>
      <c r="D9" s="789"/>
      <c r="E9" s="784" t="s">
        <v>1741</v>
      </c>
      <c r="F9" s="794">
        <f ca="1">INDIRECT("'数据-取费表'!w"&amp;$G$1)</f>
        <v>0.1</v>
      </c>
      <c r="G9" s="1579"/>
      <c r="H9" s="2470"/>
      <c r="I9" s="3448"/>
      <c r="J9" s="788"/>
      <c r="K9" s="789"/>
      <c r="L9" s="795" t="s">
        <v>1741</v>
      </c>
      <c r="M9" s="796">
        <f ca="1">INDIRECT("'数据-取费表'!ab"&amp;$G$1)</f>
        <v>0</v>
      </c>
    </row>
    <row r="10" spans="1:33" ht="18" customHeight="1">
      <c r="A10" s="1816" t="s">
        <v>2462</v>
      </c>
      <c r="B10" s="2459" t="s">
        <v>2455</v>
      </c>
      <c r="C10" s="799">
        <f ca="1">ROUND(IF(F10="押一",C6/12*F11,IF(F10="押二",C6/12*2*F11,IF(F10="押三",C6/12*3*F11,C11*F11))),0)</f>
        <v>3</v>
      </c>
      <c r="D10" s="2466" t="s">
        <v>2969</v>
      </c>
      <c r="E10" s="2463" t="s">
        <v>2460</v>
      </c>
      <c r="F10" s="2586" t="s">
        <v>3017</v>
      </c>
      <c r="G10" s="1579"/>
      <c r="H10" s="2526" t="s">
        <v>2465</v>
      </c>
      <c r="I10" s="2531" t="s">
        <v>2455</v>
      </c>
      <c r="J10" s="783">
        <f ca="1">ROUND(IF(M10="押一",J6/12*M11,IF(M10="押二",J6/12*2*M11,IF(M10="押三",J6/12*3*M11,J11*M11))),0)</f>
        <v>0</v>
      </c>
      <c r="K10" s="2466" t="s">
        <v>2969</v>
      </c>
      <c r="L10" s="2463" t="s">
        <v>2460</v>
      </c>
      <c r="M10" s="2586"/>
    </row>
    <row r="11" spans="1:33" ht="18" customHeight="1">
      <c r="A11" s="790"/>
      <c r="B11" s="2460" t="s">
        <v>2569</v>
      </c>
      <c r="C11" s="2464"/>
      <c r="D11" s="789"/>
      <c r="E11" s="2463" t="s">
        <v>2461</v>
      </c>
      <c r="F11" s="796">
        <f ca="1">'数据-取费表'!B39</f>
        <v>1.4999999999999999E-2</v>
      </c>
      <c r="G11" s="1579"/>
      <c r="H11" s="2527"/>
      <c r="I11" s="2460" t="s">
        <v>2569</v>
      </c>
      <c r="J11" s="2464"/>
      <c r="K11" s="2528"/>
      <c r="L11" s="2463" t="s">
        <v>2461</v>
      </c>
      <c r="M11" s="2457">
        <f ca="1">'数据-取费表'!B39</f>
        <v>1.4999999999999999E-2</v>
      </c>
    </row>
    <row r="12" spans="1:33" ht="18" customHeight="1" thickBot="1">
      <c r="A12" s="2502" t="s">
        <v>2463</v>
      </c>
      <c r="B12" s="2503" t="s">
        <v>2456</v>
      </c>
      <c r="C12" s="2504"/>
      <c r="D12" s="2505"/>
      <c r="E12" s="2506"/>
      <c r="F12" s="2507"/>
      <c r="G12" s="1579"/>
      <c r="H12" s="2516" t="s">
        <v>2466</v>
      </c>
      <c r="I12" s="2529" t="s">
        <v>2456</v>
      </c>
      <c r="J12" s="2530"/>
      <c r="K12" s="2505"/>
      <c r="L12" s="2506"/>
      <c r="M12" s="2519"/>
    </row>
    <row r="13" spans="1:33" ht="18" customHeight="1" thickTop="1">
      <c r="A13" s="1815">
        <v>2</v>
      </c>
      <c r="B13" s="1813" t="s">
        <v>1742</v>
      </c>
      <c r="C13" s="792">
        <f ca="1">ROUND(C29*F13,0)</f>
        <v>17302</v>
      </c>
      <c r="D13" s="1820" t="s">
        <v>2294</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11629</v>
      </c>
      <c r="D14" s="1965" t="s">
        <v>1745</v>
      </c>
      <c r="E14" s="1966"/>
      <c r="F14" s="805"/>
      <c r="G14" s="1579"/>
      <c r="H14" s="1635" t="s">
        <v>1830</v>
      </c>
      <c r="I14" s="2217" t="s">
        <v>2821</v>
      </c>
      <c r="J14" s="53">
        <f ca="1">C29</f>
        <v>17302</v>
      </c>
      <c r="K14" s="26"/>
      <c r="L14" s="801"/>
      <c r="M14" s="802"/>
    </row>
    <row r="15" spans="1:33" s="2050" customFormat="1" ht="18" customHeight="1" thickBot="1">
      <c r="A15" s="1634" t="s">
        <v>1885</v>
      </c>
      <c r="B15" s="784" t="s">
        <v>647</v>
      </c>
      <c r="C15" s="53">
        <f ca="1">ROUND(C14*F15,0)</f>
        <v>349</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1721</v>
      </c>
      <c r="K16" s="1807" t="s">
        <v>1750</v>
      </c>
      <c r="L16" s="2451"/>
      <c r="M16" s="2456"/>
    </row>
    <row r="17" spans="1:33" s="2050" customFormat="1" ht="18" customHeight="1">
      <c r="A17" s="1634" t="s">
        <v>1887</v>
      </c>
      <c r="B17" s="784" t="s">
        <v>653</v>
      </c>
      <c r="C17" s="53">
        <f ca="1">ROUND(F17*(F43+INDIRECT("'数据-取费表'!S"&amp;$G$1))/10000,0)</f>
        <v>930</v>
      </c>
      <c r="D17" s="784" t="s">
        <v>1751</v>
      </c>
      <c r="E17" s="784" t="s">
        <v>1752</v>
      </c>
      <c r="F17" s="56">
        <f>'数据-取费表'!B35</f>
        <v>200</v>
      </c>
      <c r="G17" s="1580"/>
      <c r="H17" s="1635" t="s">
        <v>1830</v>
      </c>
      <c r="I17" s="784" t="s">
        <v>656</v>
      </c>
      <c r="J17" s="53">
        <f ca="1">ROUND(IF(项目基本情况!B11="自然人",J6*M17/(1+'数据-取费表'!C42),J18+J19+J20),0)</f>
        <v>1461</v>
      </c>
      <c r="K17" s="2450" t="s">
        <v>1753</v>
      </c>
      <c r="L17" s="2449" t="s">
        <v>1754</v>
      </c>
      <c r="M17" s="810" t="str">
        <f ca="1">IF(项目基本情况!B11="企业","",IF(INDIRECT("'数据-取费表'!c"&amp;$G$1)="住宅",5%,IF(M6*M7*M8/12/(1+'数据-取费表'!C42)&gt;20000,12%,7%)))</f>
        <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174</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5.5000000000000007E-2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13082</v>
      </c>
      <c r="D19" s="261" t="s">
        <v>1757</v>
      </c>
      <c r="E19" s="1968"/>
      <c r="F19" s="56"/>
      <c r="G19" s="1579"/>
      <c r="H19" s="1634" t="s">
        <v>1885</v>
      </c>
      <c r="I19" s="784" t="s">
        <v>1758</v>
      </c>
      <c r="J19" s="53">
        <f ca="1">IF(K19="按租金收入计税",ROUND(J6*M19/(1+'数据-取费表'!C42),1),ROUND(C29*F33*0.7,1))</f>
        <v>1453.4</v>
      </c>
      <c r="K19" s="811" t="s">
        <v>665</v>
      </c>
      <c r="L19" s="784" t="s">
        <v>1747</v>
      </c>
      <c r="M19" s="809">
        <f>IF(K19="按租金收入计税",'数据-取费表'!B51,'数据-取费表'!B50)</f>
        <v>1.2E-2</v>
      </c>
    </row>
    <row r="20" spans="1:33" s="2050" customFormat="1" ht="18" customHeight="1">
      <c r="A20" s="1635" t="s">
        <v>1889</v>
      </c>
      <c r="B20" s="784" t="s">
        <v>666</v>
      </c>
      <c r="C20" s="53">
        <f ca="1">ROUND(C19*F20,0)</f>
        <v>262</v>
      </c>
      <c r="D20" s="812" t="s">
        <v>1759</v>
      </c>
      <c r="E20" s="784" t="s">
        <v>1747</v>
      </c>
      <c r="F20" s="809">
        <f>'数据-取费表'!B37</f>
        <v>0.02</v>
      </c>
      <c r="G20" s="1580"/>
      <c r="H20" s="1637" t="s">
        <v>1880</v>
      </c>
      <c r="I20" s="341" t="s">
        <v>1760</v>
      </c>
      <c r="J20" s="54">
        <f ca="1">ROUND(M20*M21/10000,0)</f>
        <v>8</v>
      </c>
      <c r="K20" s="814" t="s">
        <v>1761</v>
      </c>
      <c r="L20" s="784" t="s">
        <v>1762</v>
      </c>
      <c r="M20" s="640">
        <f>'数据-取费表'!B52</f>
        <v>5</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2295</v>
      </c>
      <c r="E21" s="784" t="s">
        <v>1765</v>
      </c>
      <c r="F21" s="809">
        <f>'数据-取费表'!B38</f>
        <v>0.02</v>
      </c>
      <c r="G21" s="1580"/>
      <c r="H21" s="2471"/>
      <c r="I21" s="793"/>
      <c r="J21" s="69"/>
      <c r="K21" s="816"/>
      <c r="L21" s="784" t="s">
        <v>1766</v>
      </c>
      <c r="M21" s="785">
        <f ca="1">INDIRECT("'数据-取费表'!r"&amp;$G$1)</f>
        <v>15505.98</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260</v>
      </c>
      <c r="K22" s="2449" t="s">
        <v>1769</v>
      </c>
      <c r="L22" s="784" t="s">
        <v>1747</v>
      </c>
      <c r="M22" s="817">
        <f ca="1">INDIRECT("'数据-取费表'!Ak"&amp;$G$1)</f>
        <v>1.4999999999999999E-2</v>
      </c>
    </row>
    <row r="23" spans="1:33" s="2050" customFormat="1" ht="18" customHeight="1">
      <c r="A23" s="1634" t="s">
        <v>1831</v>
      </c>
      <c r="B23" s="784" t="s">
        <v>2531</v>
      </c>
      <c r="C23" s="53">
        <f ca="1">ROUND(IF('数据-取费表'!B22&lt;=1,(C19+C20)*F24*F23/2,(C19+C20)*(POWER((1+F24),F23/2)-1)),0)</f>
        <v>634</v>
      </c>
      <c r="D23" s="2536" t="str">
        <f>IF(F23&lt;=1,"(建造成本+管理费用)×利率×(建设周期÷2)","(建造成本+管理费用)×((1+利率)^(建设周期÷2)-1)")</f>
        <v>(建造成本+管理费用)×((1+利率)^(建设周期÷2)-1)</v>
      </c>
      <c r="E23" s="784" t="s">
        <v>1770</v>
      </c>
      <c r="F23" s="640">
        <f>'数据-取费表'!B20</f>
        <v>2</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1E-3</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0.01</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2817</v>
      </c>
      <c r="J25" s="792">
        <f ca="1">J5-J16</f>
        <v>-1721</v>
      </c>
      <c r="K25" s="2513" t="s">
        <v>1777</v>
      </c>
      <c r="L25" s="2514"/>
      <c r="M25" s="2515"/>
    </row>
    <row r="26" spans="1:33" ht="18" customHeight="1">
      <c r="A26" s="1634" t="s">
        <v>1831</v>
      </c>
      <c r="B26" s="784" t="s">
        <v>2435</v>
      </c>
      <c r="C26" s="53">
        <f ca="1">ROUND((C19+C20)*F26,0)</f>
        <v>2002</v>
      </c>
      <c r="D26" s="812" t="s">
        <v>1778</v>
      </c>
      <c r="E26" s="795" t="s">
        <v>1779</v>
      </c>
      <c r="F26" s="794">
        <f ca="1">INDIRECT("'数据-取费表'!q"&amp;$G$1)</f>
        <v>0.15</v>
      </c>
      <c r="G26" s="1579"/>
      <c r="H26" s="2467" t="s">
        <v>1780</v>
      </c>
      <c r="I26" s="2218" t="s">
        <v>2822</v>
      </c>
      <c r="J26" s="783">
        <f ca="1">IF(J5&lt;&gt;0,ROUND(J25*(1-((1+M28)/(1+M26))^M27)/(M26-M28),0),0)</f>
        <v>0</v>
      </c>
      <c r="K26" s="814" t="s">
        <v>1781</v>
      </c>
      <c r="L26" s="784" t="s">
        <v>2416</v>
      </c>
      <c r="M26" s="794">
        <f ca="1">INDIRECT("'数据-取费表'!I"&amp;$G$1)</f>
        <v>5.5E-2</v>
      </c>
    </row>
    <row r="27" spans="1:33" ht="18" customHeight="1">
      <c r="A27" s="1634" t="s">
        <v>1832</v>
      </c>
      <c r="B27" s="784" t="s">
        <v>686</v>
      </c>
      <c r="C27" s="53">
        <f ca="1">ROUND(F21*F26,4)</f>
        <v>3.0000000000000001E-3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5.2400000000000002E-2</v>
      </c>
      <c r="D28" s="812" t="s">
        <v>2296</v>
      </c>
      <c r="E28" s="784" t="s">
        <v>1785</v>
      </c>
      <c r="F28" s="809">
        <f>'数据-取费表'!B41</f>
        <v>5.5000000000000007E-2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2297</v>
      </c>
      <c r="C29" s="2509">
        <f ca="1">ROUND((C19+C20+C23+C26)/(1-F21-C24-C27-C28),0)</f>
        <v>17302</v>
      </c>
      <c r="D29" s="2510"/>
      <c r="E29" s="2511"/>
      <c r="F29" s="2512"/>
      <c r="G29" s="1580"/>
      <c r="H29" s="823" t="s">
        <v>1787</v>
      </c>
      <c r="I29" s="824" t="s">
        <v>1788</v>
      </c>
      <c r="J29" s="825">
        <f ca="1">ROUND(J26/(1+F40)^F41,0)</f>
        <v>0</v>
      </c>
      <c r="K29" s="826" t="s">
        <v>1789</v>
      </c>
      <c r="L29" s="827"/>
      <c r="M29" s="828">
        <f ca="1">INDIRECT("'数据-取费表'!k"&amp;$G$1)</f>
        <v>46517.95</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698</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389.8</v>
      </c>
      <c r="D31" s="1965" t="s">
        <v>1792</v>
      </c>
      <c r="E31" s="1963" t="s">
        <v>1793</v>
      </c>
      <c r="F31" s="810" t="str">
        <f ca="1">IF(项目基本情况!B11="企业","",IF(INDIRECT("'数据-取费表'!c"&amp;$G$1)="住宅",5%,IF(F6*F7*F8/12/(1+'数据-取费表'!C42)&gt;20000,12%,7%)))</f>
        <v/>
      </c>
      <c r="G31" s="2048"/>
      <c r="H31" s="2051"/>
      <c r="I31" s="2052"/>
      <c r="J31" s="2053"/>
      <c r="K31" s="2054"/>
      <c r="L31" s="2055"/>
      <c r="M31" s="2056"/>
    </row>
    <row r="32" spans="1:33" ht="18" customHeight="1">
      <c r="A32" s="1634" t="s">
        <v>1831</v>
      </c>
      <c r="B32" s="784" t="s">
        <v>1794</v>
      </c>
      <c r="C32" s="53">
        <f ca="1">ROUND(C6*F32/(1+'数据-取费表'!C42),1)</f>
        <v>120.1</v>
      </c>
      <c r="D32" s="1963" t="s">
        <v>1795</v>
      </c>
      <c r="E32" s="784" t="s">
        <v>1796</v>
      </c>
      <c r="F32" s="809">
        <f>'数据-取费表'!B41</f>
        <v>5.5000000000000007E-2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261.89999999999998</v>
      </c>
      <c r="D33" s="811" t="s">
        <v>3018</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7.8</v>
      </c>
      <c r="D34" s="814" t="s">
        <v>1799</v>
      </c>
      <c r="E34" s="784" t="s">
        <v>1800</v>
      </c>
      <c r="F34" s="640">
        <f>'数据-取费表'!B52</f>
        <v>5</v>
      </c>
      <c r="G34" s="2048"/>
      <c r="H34" s="2051"/>
      <c r="I34" s="835" t="s">
        <v>1813</v>
      </c>
      <c r="J34" s="836"/>
      <c r="K34" s="2066"/>
      <c r="L34" s="2065"/>
      <c r="M34" s="2065"/>
    </row>
    <row r="35" spans="1:18" ht="18" customHeight="1">
      <c r="A35" s="815"/>
      <c r="B35" s="793"/>
      <c r="C35" s="69"/>
      <c r="D35" s="816"/>
      <c r="E35" s="784" t="s">
        <v>1801</v>
      </c>
      <c r="F35" s="785">
        <f ca="1">INDIRECT("'数据-取费表'!r"&amp;$G$1)</f>
        <v>15505.98</v>
      </c>
      <c r="G35" s="2048"/>
      <c r="H35" s="2051"/>
      <c r="I35" s="837" t="s">
        <v>1814</v>
      </c>
      <c r="J35" s="838">
        <f ca="1">ROUND(C13*J36,0)</f>
        <v>1471</v>
      </c>
      <c r="K35" s="2064"/>
      <c r="L35" s="2063"/>
      <c r="M35" s="2063"/>
    </row>
    <row r="36" spans="1:18" ht="18" customHeight="1">
      <c r="A36" s="1635" t="s">
        <v>1889</v>
      </c>
      <c r="B36" s="784" t="s">
        <v>1802</v>
      </c>
      <c r="C36" s="53">
        <f ca="1">ROUND(C29*F36,1)</f>
        <v>259.5</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26</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23</v>
      </c>
      <c r="D38" s="2510" t="s">
        <v>1805</v>
      </c>
      <c r="E38" s="2511" t="s">
        <v>1796</v>
      </c>
      <c r="F38" s="2507">
        <f ca="1">INDIRECT("'数据-取费表'!Am"&amp;$G$1)</f>
        <v>0.01</v>
      </c>
      <c r="G38" s="2048"/>
      <c r="H38" s="2063"/>
      <c r="I38" s="843" t="s">
        <v>1817</v>
      </c>
      <c r="J38" s="844"/>
      <c r="K38" s="2069"/>
      <c r="L38" s="2063"/>
      <c r="M38" s="2063"/>
    </row>
    <row r="39" spans="1:18" ht="24.6" customHeight="1" thickTop="1">
      <c r="A39" s="1815" t="s">
        <v>1894</v>
      </c>
      <c r="B39" s="2963" t="s">
        <v>2817</v>
      </c>
      <c r="C39" s="792">
        <f ca="1">C5-C30</f>
        <v>1597</v>
      </c>
      <c r="D39" s="2513" t="s">
        <v>1806</v>
      </c>
      <c r="E39" s="2514"/>
      <c r="F39" s="2515"/>
      <c r="G39" s="2048"/>
      <c r="H39" s="2063"/>
      <c r="I39" s="837" t="s">
        <v>1818</v>
      </c>
      <c r="J39" s="845">
        <f ca="1">ROUND(J35/C39,3)</f>
        <v>0.92100000000000004</v>
      </c>
      <c r="K39" s="2069"/>
      <c r="L39" s="2063"/>
      <c r="M39" s="2063"/>
    </row>
    <row r="40" spans="1:18" ht="18" customHeight="1">
      <c r="A40" s="781" t="s">
        <v>1895</v>
      </c>
      <c r="B40" s="2218" t="s">
        <v>2298</v>
      </c>
      <c r="C40" s="783">
        <f ca="1">ROUND(C39*(1-((1+F42)/(1+F40))^F41)/(F40-F42),0)</f>
        <v>33506</v>
      </c>
      <c r="D40" s="814" t="s">
        <v>1807</v>
      </c>
      <c r="E40" s="784" t="s">
        <v>2416</v>
      </c>
      <c r="F40" s="794">
        <f ca="1">INDIRECT("'数据-取费表'!I"&amp;$G$1)</f>
        <v>5.5E-2</v>
      </c>
      <c r="G40" s="2048"/>
      <c r="H40" s="2048"/>
      <c r="I40" s="837" t="s">
        <v>1819</v>
      </c>
      <c r="J40" s="845">
        <f ca="1">1-J39</f>
        <v>7.8999999999999959E-2</v>
      </c>
      <c r="K40" s="2069"/>
      <c r="L40" s="2048"/>
      <c r="M40" s="2048"/>
    </row>
    <row r="41" spans="1:18" ht="18" customHeight="1">
      <c r="A41" s="786"/>
      <c r="B41" s="787"/>
      <c r="C41" s="788"/>
      <c r="D41" s="821" t="s">
        <v>1808</v>
      </c>
      <c r="E41" s="784" t="s">
        <v>2959</v>
      </c>
      <c r="F41" s="822">
        <f ca="1">IF(INDIRECT("'数据-取费表'!af"&amp;$G$1)=0,INDIRECT("'数据-取费表'!ae"&amp;$G$1),INDIRECT("'数据-取费表'!af"&amp;$G$1))</f>
        <v>34.409999999999997</v>
      </c>
      <c r="G41" s="2048"/>
      <c r="H41" s="1974"/>
      <c r="I41" s="843" t="s">
        <v>1820</v>
      </c>
      <c r="J41" s="846"/>
      <c r="K41" s="2068"/>
      <c r="L41" s="1974"/>
      <c r="M41" s="1974"/>
    </row>
    <row r="42" spans="1:18" ht="18" customHeight="1">
      <c r="A42" s="790"/>
      <c r="B42" s="791"/>
      <c r="C42" s="792"/>
      <c r="D42" s="816"/>
      <c r="E42" s="784" t="s">
        <v>1809</v>
      </c>
      <c r="F42" s="794">
        <f ca="1">INDIRECT("'数据-取费表'!v"&amp;$G$1)</f>
        <v>2.5000000000000001E-2</v>
      </c>
      <c r="G42" s="2048"/>
      <c r="H42" s="1974"/>
      <c r="I42" s="847" t="s">
        <v>1821</v>
      </c>
      <c r="J42" s="845">
        <f ca="1">ROUND(C13/C40,3)</f>
        <v>0.51600000000000001</v>
      </c>
      <c r="K42" s="2068"/>
      <c r="L42" s="1974"/>
      <c r="M42" s="1974"/>
    </row>
    <row r="43" spans="1:18" ht="18" customHeight="1" thickBot="1">
      <c r="A43" s="823" t="s">
        <v>1787</v>
      </c>
      <c r="B43" s="824" t="s">
        <v>1810</v>
      </c>
      <c r="C43" s="825">
        <f ca="1">ROUND(C40*10000/F43,0)</f>
        <v>7203</v>
      </c>
      <c r="D43" s="826" t="s">
        <v>1811</v>
      </c>
      <c r="E43" s="827" t="s">
        <v>1812</v>
      </c>
      <c r="F43" s="828">
        <f ca="1">INDIRECT("'数据-取费表'!k"&amp;$G$1)</f>
        <v>46517.95</v>
      </c>
      <c r="G43" s="2048"/>
      <c r="H43" s="1974"/>
      <c r="I43" s="847" t="s">
        <v>1822</v>
      </c>
      <c r="J43" s="848">
        <f ca="1">1-J42</f>
        <v>0.48399999999999999</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2292</v>
      </c>
      <c r="B46" s="2071"/>
      <c r="C46" s="2539">
        <f ca="1">C67-C40</f>
        <v>-37989</v>
      </c>
      <c r="D46" s="2071"/>
      <c r="E46" s="2071"/>
      <c r="F46" s="2071"/>
      <c r="I46" s="2343" t="s">
        <v>2340</v>
      </c>
      <c r="J46" s="2344"/>
      <c r="K46" s="2345"/>
      <c r="L46" s="3109">
        <f>IF(OR(M47="住宅",D1="土地（套用方法）"),0,IF(L48&gt;J51,L60,J60))</f>
        <v>0</v>
      </c>
      <c r="O46" s="2359" t="s">
        <v>2407</v>
      </c>
      <c r="P46" s="1579"/>
      <c r="Q46" s="1590"/>
      <c r="R46" s="1579"/>
    </row>
    <row r="47" spans="1:18" s="2045" customFormat="1" ht="18" customHeight="1" thickBot="1">
      <c r="A47" s="2337">
        <v>1</v>
      </c>
      <c r="B47" s="2338" t="s">
        <v>635</v>
      </c>
      <c r="C47" s="2539">
        <f ca="1">C48+C52+C54</f>
        <v>0</v>
      </c>
      <c r="D47" s="2071"/>
      <c r="E47" s="2071"/>
      <c r="F47" s="2071"/>
      <c r="I47" s="3100" t="s">
        <v>2341</v>
      </c>
      <c r="J47" s="2346" t="s">
        <v>3019</v>
      </c>
      <c r="K47" s="3106" t="s">
        <v>2346</v>
      </c>
      <c r="L47" s="3110">
        <f ca="1">INDIRECT("'数据-取费表'!d"&amp;$G$1)</f>
        <v>40</v>
      </c>
      <c r="M47" s="1590" t="str">
        <f>IF(ISNUMBER(FIND("住宅",C1)),"住宅","非住宅")</f>
        <v>非住宅</v>
      </c>
      <c r="O47" s="2360" t="s">
        <v>2372</v>
      </c>
      <c r="P47" s="2361" t="s">
        <v>2373</v>
      </c>
      <c r="Q47" s="2362" t="s">
        <v>2374</v>
      </c>
      <c r="R47" s="2361" t="s">
        <v>2375</v>
      </c>
    </row>
    <row r="48" spans="1:18" s="2045" customFormat="1" ht="18" customHeight="1" thickBot="1">
      <c r="A48" s="2607" t="s">
        <v>2533</v>
      </c>
      <c r="B48" s="2608" t="s">
        <v>2534</v>
      </c>
      <c r="C48" s="2339">
        <f ca="1">ROUND(F48*F50*F49*(1-F51)/10000,0)</f>
        <v>0</v>
      </c>
      <c r="D48" s="2340" t="s">
        <v>636</v>
      </c>
      <c r="E48" s="2341" t="s">
        <v>2293</v>
      </c>
      <c r="F48" s="2342"/>
      <c r="G48" s="2076"/>
      <c r="I48" s="3079" t="s">
        <v>2342</v>
      </c>
      <c r="J48" s="2347" t="s">
        <v>2347</v>
      </c>
      <c r="K48" s="3107" t="s">
        <v>2348</v>
      </c>
      <c r="L48" s="1894">
        <f ca="1">INDIRECT("'数据-取费表'!f"&amp;$G$1)</f>
        <v>36.409999999999997</v>
      </c>
      <c r="O48" s="2363" t="s">
        <v>2376</v>
      </c>
      <c r="P48" s="2364" t="s">
        <v>2402</v>
      </c>
      <c r="Q48" s="2365">
        <f ca="1">C40+J29</f>
        <v>33506</v>
      </c>
      <c r="R48" s="2364" t="s">
        <v>2377</v>
      </c>
    </row>
    <row r="49" spans="1:18" s="2045" customFormat="1" ht="18" customHeight="1" thickBot="1">
      <c r="A49" s="786"/>
      <c r="B49" s="787"/>
      <c r="C49" s="788"/>
      <c r="D49" s="789"/>
      <c r="E49" s="784" t="s">
        <v>1739</v>
      </c>
      <c r="F49" s="785">
        <f ca="1">F7</f>
        <v>46517.95</v>
      </c>
      <c r="G49" s="2076"/>
      <c r="H49" s="2079"/>
      <c r="I49" s="3079" t="s">
        <v>2343</v>
      </c>
      <c r="J49" s="2348"/>
      <c r="K49" s="3108" t="s">
        <v>2349</v>
      </c>
      <c r="L49" s="2349"/>
      <c r="O49" s="2363" t="s">
        <v>2378</v>
      </c>
      <c r="P49" s="2364" t="s">
        <v>2403</v>
      </c>
      <c r="Q49" s="2365" t="str">
        <f ca="1">J60</f>
        <v>0</v>
      </c>
      <c r="R49" s="2364" t="s">
        <v>2379</v>
      </c>
    </row>
    <row r="50" spans="1:18" s="2045" customFormat="1" ht="18" customHeight="1" thickBot="1">
      <c r="A50" s="786"/>
      <c r="B50" s="787"/>
      <c r="C50" s="788"/>
      <c r="D50" s="789"/>
      <c r="E50" s="784" t="s">
        <v>1740</v>
      </c>
      <c r="F50" s="785">
        <f ca="1">F8</f>
        <v>365</v>
      </c>
      <c r="G50" s="2081"/>
      <c r="H50" s="2079"/>
      <c r="I50" s="3079" t="s">
        <v>2344</v>
      </c>
      <c r="J50" s="3104">
        <f>SUMPRODUCT((I63:I65=J47)*(J62:L62=J48)*(J63:L65))</f>
        <v>60</v>
      </c>
      <c r="K50" s="3108" t="s">
        <v>2350</v>
      </c>
      <c r="L50" s="2349"/>
      <c r="O50" s="2366" t="s">
        <v>2380</v>
      </c>
      <c r="P50" s="2364" t="s">
        <v>2404</v>
      </c>
      <c r="Q50" s="2365">
        <f ca="1">C29</f>
        <v>17302</v>
      </c>
      <c r="R50" s="2364" t="s">
        <v>2377</v>
      </c>
    </row>
    <row r="51" spans="1:18" s="2045" customFormat="1" ht="18" customHeight="1" thickBot="1">
      <c r="A51" s="786"/>
      <c r="B51" s="787"/>
      <c r="C51" s="788"/>
      <c r="D51" s="789"/>
      <c r="E51" s="784" t="s">
        <v>640</v>
      </c>
      <c r="F51" s="2336"/>
      <c r="H51" s="2079"/>
      <c r="I51" s="3101" t="s">
        <v>2345</v>
      </c>
      <c r="J51" s="3105">
        <f>IF(J49="",J50,J49+J50-YEAR('数据-取费表'!B2))</f>
        <v>60</v>
      </c>
      <c r="K51" s="3079" t="s">
        <v>2351</v>
      </c>
      <c r="L51" s="3111">
        <f ca="1">ROUND(-PV(INDIRECT("'数据-取费表'!h"&amp;$G$1),L48,(C39-C13*J36),0),0)</f>
        <v>2099</v>
      </c>
      <c r="O51" s="2366" t="s">
        <v>2381</v>
      </c>
      <c r="P51" s="2364" t="s">
        <v>2382</v>
      </c>
      <c r="Q51" s="2367" t="e">
        <f ca="1">J58</f>
        <v>#VALUE!</v>
      </c>
      <c r="R51" s="2368"/>
    </row>
    <row r="52" spans="1:18" s="2045" customFormat="1" ht="18" customHeight="1" thickBot="1">
      <c r="A52" s="781" t="s">
        <v>2532</v>
      </c>
      <c r="B52" s="2459" t="s">
        <v>2455</v>
      </c>
      <c r="C52" s="799">
        <f ca="1">ROUND(IF(F52="押一",C48/12*F11,IF(F52="押二",C48/12*2*F11,IF(F52="押三",C48/12*3*F11,C53*F11))),0)</f>
        <v>0</v>
      </c>
      <c r="D52" s="2466" t="s">
        <v>2970</v>
      </c>
      <c r="E52" s="2463" t="s">
        <v>2460</v>
      </c>
      <c r="F52" s="2586"/>
      <c r="I52" s="3102" t="s">
        <v>2418</v>
      </c>
      <c r="J52" s="2350">
        <v>0.09</v>
      </c>
      <c r="K52" s="3102" t="s">
        <v>2417</v>
      </c>
      <c r="L52" s="2350"/>
      <c r="O52" s="2366" t="s">
        <v>2383</v>
      </c>
      <c r="P52" s="2364" t="s">
        <v>2384</v>
      </c>
      <c r="Q52" s="2367">
        <f>J52</f>
        <v>0.09</v>
      </c>
      <c r="R52" s="2368"/>
    </row>
    <row r="53" spans="1:18" s="2045" customFormat="1" ht="39.75" customHeight="1" thickBot="1">
      <c r="A53" s="786"/>
      <c r="B53" s="2460" t="s">
        <v>2569</v>
      </c>
      <c r="C53" s="2464"/>
      <c r="D53" s="2466"/>
      <c r="E53" s="2463"/>
      <c r="F53" s="800"/>
      <c r="I53" s="3103" t="s">
        <v>2973</v>
      </c>
      <c r="J53" s="3182">
        <f ca="1">IF(M47="住宅",IF(D1="——",MAX(J51,L48),MAX(J51,L48-'数据-取费表'!B20)),IF(D1="——",MIN(J51,L48),MIN(J51,L48-'数据-取费表'!B20)))</f>
        <v>34.409999999999997</v>
      </c>
      <c r="K53" s="3457" t="s">
        <v>2961</v>
      </c>
      <c r="L53" s="3458"/>
      <c r="O53" s="2366" t="s">
        <v>2385</v>
      </c>
      <c r="P53" s="2364" t="s">
        <v>2386</v>
      </c>
      <c r="Q53" s="2365">
        <f ca="1">J53</f>
        <v>34.409999999999997</v>
      </c>
      <c r="R53" s="2364" t="s">
        <v>2387</v>
      </c>
    </row>
    <row r="54" spans="1:18" s="2045" customFormat="1" ht="18" customHeight="1" thickBot="1">
      <c r="A54" s="2502" t="s">
        <v>2463</v>
      </c>
      <c r="B54" s="2503" t="s">
        <v>2456</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2388</v>
      </c>
      <c r="P54" s="2364" t="s">
        <v>2405</v>
      </c>
      <c r="Q54" s="2365">
        <f ca="1">Q48+Q49</f>
        <v>33506</v>
      </c>
      <c r="R54" s="2368" t="s">
        <v>2389</v>
      </c>
    </row>
    <row r="55" spans="1:18" s="2045" customFormat="1" ht="18" customHeight="1" thickTop="1" thickBot="1">
      <c r="A55" s="797">
        <v>2</v>
      </c>
      <c r="B55" s="798" t="s">
        <v>644</v>
      </c>
      <c r="C55" s="799">
        <f ca="1">C13</f>
        <v>17302</v>
      </c>
      <c r="D55" s="795"/>
      <c r="E55" s="795"/>
      <c r="F55" s="800"/>
      <c r="I55" s="3114" t="s">
        <v>2352</v>
      </c>
      <c r="J55" s="3054" t="e">
        <f ca="1">ROUND(IF(J47="钢混",J57/J50,1-(1-2%)*(J50-J57)/J50),3)</f>
        <v>#VALUE!</v>
      </c>
      <c r="K55" s="3115" t="s">
        <v>2353</v>
      </c>
      <c r="L55" s="2351"/>
      <c r="O55" s="2369" t="s">
        <v>2408</v>
      </c>
      <c r="P55" s="1579"/>
      <c r="Q55" s="1590"/>
      <c r="R55" s="1579"/>
    </row>
    <row r="56" spans="1:18" s="2045" customFormat="1" ht="42.75" customHeight="1" thickBot="1">
      <c r="A56" s="1636"/>
      <c r="B56" s="2217" t="s">
        <v>2299</v>
      </c>
      <c r="C56" s="53">
        <f ca="1">C29</f>
        <v>17302</v>
      </c>
      <c r="D56" s="2604"/>
      <c r="E56" s="784"/>
      <c r="F56" s="809"/>
      <c r="I56" s="3116" t="s">
        <v>2354</v>
      </c>
      <c r="J56" s="3126" t="s">
        <v>1678</v>
      </c>
      <c r="K56" s="3079" t="s">
        <v>2359</v>
      </c>
      <c r="L56" s="1894" t="str">
        <f ca="1">IF(L48&lt;J51,"——",L48-J51)</f>
        <v>——</v>
      </c>
      <c r="O56" s="2360" t="s">
        <v>2372</v>
      </c>
      <c r="P56" s="2361" t="s">
        <v>2373</v>
      </c>
      <c r="Q56" s="2362" t="s">
        <v>2374</v>
      </c>
      <c r="R56" s="2361" t="s">
        <v>2375</v>
      </c>
    </row>
    <row r="57" spans="1:18" s="2045" customFormat="1" ht="28.5" customHeight="1" thickBot="1">
      <c r="A57" s="797" t="s">
        <v>1748</v>
      </c>
      <c r="B57" s="798" t="s">
        <v>651</v>
      </c>
      <c r="C57" s="799">
        <f ca="1">ROUND(C58+C63+C64+C65,0)</f>
        <v>293</v>
      </c>
      <c r="D57" s="26" t="s">
        <v>1750</v>
      </c>
      <c r="E57" s="2605"/>
      <c r="F57" s="56"/>
      <c r="I57" s="3117" t="s">
        <v>2355</v>
      </c>
      <c r="J57" s="3118" t="str">
        <f ca="1">IF(OR(M47="住宅",J51&lt;L48,J56="是"),"——",J51-L48)</f>
        <v>——</v>
      </c>
      <c r="K57" s="3079" t="s">
        <v>2360</v>
      </c>
      <c r="L57" s="1894" t="str">
        <f ca="1">IF(L48&lt;J51,"——",IF(L55="比较法",L49,IF(L55="基准地价",L50,L51)))</f>
        <v>——</v>
      </c>
      <c r="O57" s="2363" t="s">
        <v>2376</v>
      </c>
      <c r="P57" s="2364" t="s">
        <v>2406</v>
      </c>
      <c r="Q57" s="2365">
        <f ca="1">C40+J29</f>
        <v>33506</v>
      </c>
      <c r="R57" s="2364" t="s">
        <v>2377</v>
      </c>
    </row>
    <row r="58" spans="1:18" s="2045" customFormat="1" ht="28.5" customHeight="1" thickBot="1">
      <c r="A58" s="1635" t="s">
        <v>1824</v>
      </c>
      <c r="B58" s="784" t="s">
        <v>656</v>
      </c>
      <c r="C58" s="53">
        <f ca="1">ROUND(IF(项目基本情况!B11="自然人",C47*F58,C59+C60+C61),1)</f>
        <v>7.8</v>
      </c>
      <c r="D58" s="2603" t="s">
        <v>657</v>
      </c>
      <c r="E58" s="2604" t="s">
        <v>690</v>
      </c>
      <c r="F58" s="810" t="str">
        <f ca="1">IF(项目基本情况!B11="企业","",IF(INDIRECT("'数据-取费表'!c"&amp;$G$1)="住宅",5%,IF(F48*F49*F50/12/(1+'数据-取费表'!C42)&gt;20000,12%,7%)))</f>
        <v/>
      </c>
      <c r="I58" s="3117" t="s">
        <v>2356</v>
      </c>
      <c r="J58" s="3055" t="e">
        <f ca="1">IF(J55&lt;0.4,0.4,J55)</f>
        <v>#VALUE!</v>
      </c>
      <c r="K58" s="3079" t="s">
        <v>2361</v>
      </c>
      <c r="L58" s="1894" t="e">
        <f ca="1">ROUND(POWER(1+L52,L47-L48)*(POWER(1+L52,L48)-1)/(POWER(1+L52,L47)-1),4)</f>
        <v>#DIV/0!</v>
      </c>
      <c r="O58" s="2363" t="s">
        <v>2378</v>
      </c>
      <c r="P58" s="2364" t="s">
        <v>2409</v>
      </c>
      <c r="Q58" s="2365">
        <f ca="1">L60</f>
        <v>0</v>
      </c>
      <c r="R58" s="2368" t="s">
        <v>2411</v>
      </c>
    </row>
    <row r="59" spans="1:18" s="2045" customFormat="1" ht="28.5" customHeight="1" thickBot="1">
      <c r="A59" s="1634" t="s">
        <v>1831</v>
      </c>
      <c r="B59" s="784" t="s">
        <v>660</v>
      </c>
      <c r="C59" s="53">
        <f ca="1">ROUND(C47*F59/1.05,1)</f>
        <v>0</v>
      </c>
      <c r="D59" s="2604" t="s">
        <v>1756</v>
      </c>
      <c r="E59" s="784" t="s">
        <v>1747</v>
      </c>
      <c r="F59" s="809">
        <f t="shared" ref="F59:F65" si="0">F32</f>
        <v>5.5000000000000007E-2</v>
      </c>
      <c r="I59" s="3117" t="s">
        <v>2357</v>
      </c>
      <c r="J59" s="3118" t="str">
        <f ca="1">IF(OR(M47="住宅",J51&lt;L48,J56="是"),"——",ROUND(C29*J58,0))</f>
        <v>——</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2380</v>
      </c>
      <c r="P59" s="2364" t="s">
        <v>2410</v>
      </c>
      <c r="Q59" s="2365">
        <f>IF(L55="比较法",L49,IF(L55="基准地价",L50,0))</f>
        <v>0</v>
      </c>
      <c r="R59" s="2364" t="s">
        <v>2377</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2358</v>
      </c>
      <c r="J60" s="3120" t="str">
        <f ca="1">IF(OR(M47="住宅",J51&lt;L48,J56="是"),"0",ROUND(J59/(1+J52)^J53,0))</f>
        <v>0</v>
      </c>
      <c r="K60" s="3121" t="s">
        <v>2363</v>
      </c>
      <c r="L60" s="3120">
        <f ca="1">IF(OR(M47="住宅",L48&lt;J51),0,ROUND(L57*(L58/L59-1),0))</f>
        <v>0</v>
      </c>
      <c r="O60" s="2366" t="s">
        <v>2381</v>
      </c>
      <c r="P60" s="2364" t="s">
        <v>2390</v>
      </c>
      <c r="Q60" s="2367">
        <f>L52</f>
        <v>0</v>
      </c>
      <c r="R60" s="2368"/>
    </row>
    <row r="61" spans="1:18" s="2045" customFormat="1" ht="18" customHeight="1" thickBot="1">
      <c r="A61" s="1637" t="s">
        <v>1833</v>
      </c>
      <c r="B61" s="341" t="s">
        <v>668</v>
      </c>
      <c r="C61" s="54">
        <f ca="1">ROUND(F61*F62/10000,1)</f>
        <v>7.8</v>
      </c>
      <c r="D61" s="814" t="s">
        <v>669</v>
      </c>
      <c r="E61" s="784" t="s">
        <v>670</v>
      </c>
      <c r="F61" s="640">
        <f t="shared" si="0"/>
        <v>5</v>
      </c>
      <c r="K61" s="2072"/>
      <c r="O61" s="2366" t="s">
        <v>2383</v>
      </c>
      <c r="P61" s="2364" t="s">
        <v>2391</v>
      </c>
      <c r="Q61" s="2365" t="e">
        <f ca="1">L58</f>
        <v>#DIV/0!</v>
      </c>
      <c r="R61" s="2368" t="s">
        <v>2392</v>
      </c>
    </row>
    <row r="62" spans="1:18" s="2045" customFormat="1" ht="15.75" thickBot="1">
      <c r="A62" s="815"/>
      <c r="B62" s="793"/>
      <c r="C62" s="69"/>
      <c r="D62" s="816"/>
      <c r="E62" s="784" t="s">
        <v>674</v>
      </c>
      <c r="F62" s="785">
        <f t="shared" ca="1" si="0"/>
        <v>15505.98</v>
      </c>
      <c r="I62" s="3122" t="s">
        <v>2364</v>
      </c>
      <c r="J62" s="3123" t="s">
        <v>2365</v>
      </c>
      <c r="K62" s="3123" t="s">
        <v>2366</v>
      </c>
      <c r="L62" s="3123" t="s">
        <v>2347</v>
      </c>
      <c r="M62" s="3124" t="s">
        <v>2938</v>
      </c>
      <c r="O62" s="2366" t="s">
        <v>2385</v>
      </c>
      <c r="P62" s="2364" t="str">
        <f>K59</f>
        <v>建设期及建筑物耐用年限下的土地年期修正系数Kn</v>
      </c>
      <c r="Q62" s="2365" t="e">
        <f ca="1">L59</f>
        <v>#DIV/0!</v>
      </c>
      <c r="R62" s="2368" t="s">
        <v>2394</v>
      </c>
    </row>
    <row r="63" spans="1:18" s="2045" customFormat="1" ht="15.75" thickBot="1">
      <c r="A63" s="1635" t="s">
        <v>1889</v>
      </c>
      <c r="B63" s="784" t="s">
        <v>676</v>
      </c>
      <c r="C63" s="53">
        <f ca="1">ROUND(C56*F63,1)</f>
        <v>259.5</v>
      </c>
      <c r="D63" s="2604" t="s">
        <v>1803</v>
      </c>
      <c r="E63" s="784" t="s">
        <v>1747</v>
      </c>
      <c r="F63" s="817">
        <f t="shared" ca="1" si="0"/>
        <v>1.4999999999999999E-2</v>
      </c>
      <c r="I63" s="3122" t="s">
        <v>2367</v>
      </c>
      <c r="J63" s="3123">
        <v>70</v>
      </c>
      <c r="K63" s="3123">
        <v>50</v>
      </c>
      <c r="L63" s="3123">
        <v>80</v>
      </c>
      <c r="M63" s="3125">
        <v>0.02</v>
      </c>
      <c r="O63" s="2363" t="s">
        <v>2388</v>
      </c>
      <c r="P63" s="2364" t="s">
        <v>2405</v>
      </c>
      <c r="Q63" s="2365">
        <f ca="1">Q57+Q58</f>
        <v>33506</v>
      </c>
      <c r="R63" s="2368" t="s">
        <v>2389</v>
      </c>
    </row>
    <row r="64" spans="1:18" s="2045" customFormat="1" ht="16.5" thickBot="1">
      <c r="A64" s="1635" t="s">
        <v>1890</v>
      </c>
      <c r="B64" s="784" t="s">
        <v>679</v>
      </c>
      <c r="C64" s="53">
        <f ca="1">ROUND(C55*F64,1)</f>
        <v>26</v>
      </c>
      <c r="D64" s="2604" t="s">
        <v>680</v>
      </c>
      <c r="E64" s="784" t="s">
        <v>1747</v>
      </c>
      <c r="F64" s="818">
        <f t="shared" ca="1" si="0"/>
        <v>1.5E-3</v>
      </c>
      <c r="I64" s="3122" t="s">
        <v>2368</v>
      </c>
      <c r="J64" s="3123">
        <v>50</v>
      </c>
      <c r="K64" s="3123">
        <v>35</v>
      </c>
      <c r="L64" s="3123">
        <v>60</v>
      </c>
      <c r="M64" s="846">
        <v>0</v>
      </c>
      <c r="O64" s="2369" t="s">
        <v>2412</v>
      </c>
      <c r="P64" s="1579"/>
      <c r="Q64" s="1590"/>
      <c r="R64" s="1579"/>
    </row>
    <row r="65" spans="1:18" s="2045" customFormat="1" ht="15.75" thickBot="1">
      <c r="A65" s="1635" t="s">
        <v>1891</v>
      </c>
      <c r="B65" s="784" t="s">
        <v>666</v>
      </c>
      <c r="C65" s="53">
        <f ca="1">ROUND(C47*F65,1)</f>
        <v>0</v>
      </c>
      <c r="D65" s="2604" t="s">
        <v>683</v>
      </c>
      <c r="E65" s="784" t="s">
        <v>1747</v>
      </c>
      <c r="F65" s="794">
        <f t="shared" ca="1" si="0"/>
        <v>0.01</v>
      </c>
      <c r="I65" s="3122" t="s">
        <v>2369</v>
      </c>
      <c r="J65" s="3123">
        <v>40</v>
      </c>
      <c r="K65" s="3123">
        <v>30</v>
      </c>
      <c r="L65" s="3123">
        <v>50</v>
      </c>
      <c r="M65" s="3125">
        <v>0.02</v>
      </c>
      <c r="O65" s="2360" t="s">
        <v>2372</v>
      </c>
      <c r="P65" s="2361" t="s">
        <v>2373</v>
      </c>
      <c r="Q65" s="2362" t="s">
        <v>2374</v>
      </c>
      <c r="R65" s="2361" t="s">
        <v>2375</v>
      </c>
    </row>
    <row r="66" spans="1:18" s="2045" customFormat="1" ht="24.75" thickBot="1">
      <c r="A66" s="797" t="s">
        <v>1776</v>
      </c>
      <c r="B66" s="2964" t="s">
        <v>2817</v>
      </c>
      <c r="C66" s="799">
        <f ca="1">C47-C57</f>
        <v>-293</v>
      </c>
      <c r="D66" s="2603" t="s">
        <v>700</v>
      </c>
      <c r="E66" s="2602"/>
      <c r="F66" s="820"/>
      <c r="K66" s="2072"/>
      <c r="O66" s="2363" t="s">
        <v>2376</v>
      </c>
      <c r="P66" s="2364" t="s">
        <v>2406</v>
      </c>
      <c r="Q66" s="2365">
        <f ca="1">C40+J29</f>
        <v>33506</v>
      </c>
      <c r="R66" s="2364" t="s">
        <v>2377</v>
      </c>
    </row>
    <row r="67" spans="1:18" s="2045" customFormat="1" ht="20.25" thickBot="1">
      <c r="A67" s="781" t="s">
        <v>1780</v>
      </c>
      <c r="B67" s="2218" t="s">
        <v>2298</v>
      </c>
      <c r="C67" s="783">
        <f ca="1">ROUND(C66*(1-((1+F69)/(1+F67))^F68)/(F67-F69),0)</f>
        <v>-4483</v>
      </c>
      <c r="D67" s="814" t="s">
        <v>704</v>
      </c>
      <c r="E67" s="784" t="s">
        <v>705</v>
      </c>
      <c r="F67" s="794">
        <f ca="1">F40</f>
        <v>5.5E-2</v>
      </c>
      <c r="K67" s="2072"/>
      <c r="O67" s="2363" t="s">
        <v>2378</v>
      </c>
      <c r="P67" s="2364" t="s">
        <v>2409</v>
      </c>
      <c r="Q67" s="2365">
        <f ca="1">L60</f>
        <v>0</v>
      </c>
      <c r="R67" s="2368" t="s">
        <v>2411</v>
      </c>
    </row>
    <row r="68" spans="1:18" ht="21.75" thickBot="1">
      <c r="A68" s="786"/>
      <c r="B68" s="787"/>
      <c r="C68" s="788"/>
      <c r="D68" s="821" t="s">
        <v>1808</v>
      </c>
      <c r="E68" s="784" t="s">
        <v>1784</v>
      </c>
      <c r="F68" s="822">
        <f ca="1">F41</f>
        <v>34.409999999999997</v>
      </c>
      <c r="O68" s="2366" t="s">
        <v>2380</v>
      </c>
      <c r="P68" s="2364" t="s">
        <v>2410</v>
      </c>
      <c r="Q68" s="2370">
        <f ca="1">L51</f>
        <v>2099</v>
      </c>
      <c r="R68" s="2371" t="s">
        <v>2413</v>
      </c>
    </row>
    <row r="69" spans="1:18" ht="20.25" thickBot="1">
      <c r="A69" s="790"/>
      <c r="B69" s="791"/>
      <c r="C69" s="792"/>
      <c r="D69" s="816"/>
      <c r="E69" s="784" t="s">
        <v>710</v>
      </c>
      <c r="F69" s="2336"/>
      <c r="O69" s="2366" t="s">
        <v>2381</v>
      </c>
      <c r="P69" s="2372" t="s">
        <v>2395</v>
      </c>
      <c r="Q69" s="2365">
        <f ca="1">ROUND(Q70-Q71*Q72,0)</f>
        <v>126</v>
      </c>
      <c r="R69" s="2368"/>
    </row>
    <row r="70" spans="1:18" ht="15.75" thickBot="1">
      <c r="A70" s="823" t="s">
        <v>1787</v>
      </c>
      <c r="B70" s="824" t="s">
        <v>1810</v>
      </c>
      <c r="C70" s="825">
        <f ca="1">ROUND(C67*10000/F70,0)</f>
        <v>-964</v>
      </c>
      <c r="D70" s="826" t="s">
        <v>1811</v>
      </c>
      <c r="E70" s="827" t="s">
        <v>1812</v>
      </c>
      <c r="F70" s="828">
        <f ca="1">F43</f>
        <v>46517.95</v>
      </c>
      <c r="O70" s="2366" t="s">
        <v>2396</v>
      </c>
      <c r="P70" s="2372" t="s">
        <v>2397</v>
      </c>
      <c r="Q70" s="2365">
        <f ca="1">C39</f>
        <v>1597</v>
      </c>
      <c r="R70" s="2364" t="s">
        <v>2377</v>
      </c>
    </row>
    <row r="71" spans="1:18" ht="15.75" thickBot="1">
      <c r="O71" s="2366" t="s">
        <v>2398</v>
      </c>
      <c r="P71" s="2372" t="s">
        <v>2399</v>
      </c>
      <c r="Q71" s="2365">
        <f ca="1">C13</f>
        <v>17302</v>
      </c>
      <c r="R71" s="2364" t="s">
        <v>2377</v>
      </c>
    </row>
    <row r="72" spans="1:18" ht="15.75" thickBot="1">
      <c r="O72" s="2366" t="s">
        <v>2400</v>
      </c>
      <c r="P72" s="2372" t="s">
        <v>2401</v>
      </c>
      <c r="Q72" s="2367">
        <f ca="1">J36</f>
        <v>8.5000000000000006E-2</v>
      </c>
      <c r="R72" s="2368"/>
    </row>
    <row r="73" spans="1:18" ht="15.75" thickBot="1">
      <c r="O73" s="2366" t="s">
        <v>2383</v>
      </c>
      <c r="P73" s="2364" t="s">
        <v>2390</v>
      </c>
      <c r="Q73" s="2367">
        <f>L52</f>
        <v>0</v>
      </c>
      <c r="R73" s="2368"/>
    </row>
    <row r="74" spans="1:18" ht="20.25" thickBot="1">
      <c r="O74" s="2366" t="s">
        <v>2385</v>
      </c>
      <c r="P74" s="2364" t="s">
        <v>2391</v>
      </c>
      <c r="Q74" s="2365" t="e">
        <f ca="1">L58</f>
        <v>#DIV/0!</v>
      </c>
      <c r="R74" s="2368" t="s">
        <v>2392</v>
      </c>
    </row>
    <row r="75" spans="1:18" ht="15.75" thickBot="1">
      <c r="O75" s="2366" t="s">
        <v>2414</v>
      </c>
      <c r="P75" s="2364" t="str">
        <f>K59</f>
        <v>建设期及建筑物耐用年限下的土地年期修正系数Kn</v>
      </c>
      <c r="Q75" s="2365" t="e">
        <f ca="1">L59</f>
        <v>#DIV/0!</v>
      </c>
      <c r="R75" s="2368" t="s">
        <v>2394</v>
      </c>
    </row>
    <row r="76" spans="1:18" ht="15.75" thickBot="1">
      <c r="O76" s="2363" t="s">
        <v>2388</v>
      </c>
      <c r="P76" s="2364" t="s">
        <v>2405</v>
      </c>
      <c r="Q76" s="2365">
        <f ca="1">Q66+Q67</f>
        <v>33506</v>
      </c>
      <c r="R76" s="2368" t="s">
        <v>2389</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topLeftCell="A19" workbookViewId="0">
      <selection activeCell="L20" sqref="L20"/>
    </sheetView>
  </sheetViews>
  <sheetFormatPr defaultRowHeight="13.5"/>
  <sheetData/>
  <phoneticPr fontId="228"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875" customWidth="1"/>
  </cols>
  <sheetData>
    <row r="1" spans="1:9" ht="14.25">
      <c r="A1" s="3459" t="s">
        <v>2467</v>
      </c>
      <c r="B1" s="3460"/>
      <c r="C1" s="3461"/>
      <c r="D1" s="3462">
        <f>SUM(I10,I15,I20,I21,I23)</f>
        <v>0</v>
      </c>
      <c r="E1" s="3462"/>
      <c r="F1" s="3462"/>
      <c r="G1" s="3462"/>
      <c r="H1" s="3462"/>
      <c r="I1" s="3463"/>
    </row>
    <row r="2" spans="1:9">
      <c r="A2" s="3464" t="s">
        <v>2468</v>
      </c>
      <c r="B2" s="3465" t="s">
        <v>2469</v>
      </c>
      <c r="C2" s="3465"/>
      <c r="D2" s="2472" t="s">
        <v>2470</v>
      </c>
      <c r="E2" s="2472" t="s">
        <v>2471</v>
      </c>
      <c r="F2" s="2472" t="s">
        <v>2472</v>
      </c>
      <c r="G2" s="2472" t="s">
        <v>2473</v>
      </c>
      <c r="H2" s="2472" t="s">
        <v>2474</v>
      </c>
      <c r="I2" s="2473" t="s">
        <v>2475</v>
      </c>
    </row>
    <row r="3" spans="1:9">
      <c r="A3" s="3464"/>
      <c r="B3" s="3465" t="s">
        <v>2476</v>
      </c>
      <c r="C3" s="3465"/>
      <c r="D3" s="2474"/>
      <c r="E3" s="2472"/>
      <c r="F3" s="2475"/>
      <c r="G3" s="2475"/>
      <c r="H3" s="2476"/>
      <c r="I3" s="2477">
        <f>ROUND(D3*E3*F3*G3*H3/10000,0)</f>
        <v>0</v>
      </c>
    </row>
    <row r="4" spans="1:9">
      <c r="A4" s="3464"/>
      <c r="B4" s="3465" t="s">
        <v>2477</v>
      </c>
      <c r="C4" s="3465"/>
      <c r="D4" s="2474"/>
      <c r="E4" s="2472"/>
      <c r="F4" s="2475"/>
      <c r="G4" s="2475"/>
      <c r="H4" s="2476"/>
      <c r="I4" s="2477">
        <f t="shared" ref="I4:I9" si="0">ROUND(D4*E4*F4*G4*H4/10000,0)</f>
        <v>0</v>
      </c>
    </row>
    <row r="5" spans="1:9">
      <c r="A5" s="3464"/>
      <c r="B5" s="3465" t="s">
        <v>2478</v>
      </c>
      <c r="C5" s="3465"/>
      <c r="D5" s="2474"/>
      <c r="E5" s="2472"/>
      <c r="F5" s="2475"/>
      <c r="G5" s="2475"/>
      <c r="H5" s="2476"/>
      <c r="I5" s="2477">
        <f t="shared" si="0"/>
        <v>0</v>
      </c>
    </row>
    <row r="6" spans="1:9">
      <c r="A6" s="3464"/>
      <c r="B6" s="3465" t="s">
        <v>2479</v>
      </c>
      <c r="C6" s="3465"/>
      <c r="D6" s="2474"/>
      <c r="E6" s="2472"/>
      <c r="F6" s="2475"/>
      <c r="G6" s="2475"/>
      <c r="H6" s="2476"/>
      <c r="I6" s="2477">
        <f t="shared" si="0"/>
        <v>0</v>
      </c>
    </row>
    <row r="7" spans="1:9">
      <c r="A7" s="3464"/>
      <c r="B7" s="3465" t="s">
        <v>2480</v>
      </c>
      <c r="C7" s="3465"/>
      <c r="D7" s="2474"/>
      <c r="E7" s="2472"/>
      <c r="F7" s="2475"/>
      <c r="G7" s="2475"/>
      <c r="H7" s="2476"/>
      <c r="I7" s="2477">
        <f t="shared" si="0"/>
        <v>0</v>
      </c>
    </row>
    <row r="8" spans="1:9">
      <c r="A8" s="3464"/>
      <c r="B8" s="3465" t="s">
        <v>2481</v>
      </c>
      <c r="C8" s="3465"/>
      <c r="D8" s="2474"/>
      <c r="E8" s="2472"/>
      <c r="F8" s="2475"/>
      <c r="G8" s="2475"/>
      <c r="H8" s="2476"/>
      <c r="I8" s="2477">
        <f t="shared" si="0"/>
        <v>0</v>
      </c>
    </row>
    <row r="9" spans="1:9">
      <c r="A9" s="3464"/>
      <c r="B9" s="3465" t="s">
        <v>2482</v>
      </c>
      <c r="C9" s="3465"/>
      <c r="D9" s="2474"/>
      <c r="E9" s="2472"/>
      <c r="F9" s="2475"/>
      <c r="G9" s="2475"/>
      <c r="H9" s="2476"/>
      <c r="I9" s="2477">
        <f t="shared" si="0"/>
        <v>0</v>
      </c>
    </row>
    <row r="10" spans="1:9">
      <c r="A10" s="3464"/>
      <c r="B10" s="3466" t="s">
        <v>2483</v>
      </c>
      <c r="C10" s="3466"/>
      <c r="D10" s="2478">
        <v>527</v>
      </c>
      <c r="E10" s="2478" t="e">
        <f>ROUND(D1*10000/D10/H9,0)</f>
        <v>#DIV/0!</v>
      </c>
      <c r="F10" s="2479"/>
      <c r="G10" s="2479"/>
      <c r="H10" s="2480"/>
      <c r="I10" s="2481">
        <f>SUM(I3:I9)</f>
        <v>0</v>
      </c>
    </row>
    <row r="11" spans="1:9" ht="14.25">
      <c r="A11" s="3464" t="s">
        <v>2484</v>
      </c>
      <c r="B11" s="3465" t="s">
        <v>2485</v>
      </c>
      <c r="C11" s="3465"/>
      <c r="D11" s="2474" t="s">
        <v>2486</v>
      </c>
      <c r="E11" s="2474" t="s">
        <v>2487</v>
      </c>
      <c r="F11" s="2475" t="s">
        <v>2488</v>
      </c>
      <c r="G11" s="2475" t="s">
        <v>2489</v>
      </c>
      <c r="H11" s="2482" t="s">
        <v>2490</v>
      </c>
      <c r="I11" s="2473" t="s">
        <v>2491</v>
      </c>
    </row>
    <row r="12" spans="1:9">
      <c r="A12" s="3464"/>
      <c r="B12" s="3465" t="s">
        <v>2492</v>
      </c>
      <c r="C12" s="3465"/>
      <c r="D12" s="2474"/>
      <c r="E12" s="2474"/>
      <c r="F12" s="2475"/>
      <c r="G12" s="2476"/>
      <c r="H12" s="2483"/>
      <c r="I12" s="2473">
        <f>ROUND(D12*E12*F12*G12/10000,0)</f>
        <v>0</v>
      </c>
    </row>
    <row r="13" spans="1:9">
      <c r="A13" s="3464"/>
      <c r="B13" s="3465" t="s">
        <v>2493</v>
      </c>
      <c r="C13" s="3465"/>
      <c r="D13" s="2474"/>
      <c r="E13" s="2474"/>
      <c r="F13" s="2475"/>
      <c r="G13" s="2476"/>
      <c r="H13" s="2483"/>
      <c r="I13" s="2473">
        <f>ROUND(D13*E13*F13*G13/10000,0)</f>
        <v>0</v>
      </c>
    </row>
    <row r="14" spans="1:9">
      <c r="A14" s="3464"/>
      <c r="B14" s="3465" t="s">
        <v>2494</v>
      </c>
      <c r="C14" s="3465"/>
      <c r="D14" s="2474"/>
      <c r="E14" s="2474"/>
      <c r="F14" s="2475"/>
      <c r="G14" s="2476"/>
      <c r="H14" s="2483"/>
      <c r="I14" s="2473">
        <f>ROUND(D14*E14*F14*G14/10000,0)</f>
        <v>0</v>
      </c>
    </row>
    <row r="15" spans="1:9">
      <c r="A15" s="3464"/>
      <c r="B15" s="3466" t="s">
        <v>2483</v>
      </c>
      <c r="C15" s="3466"/>
      <c r="D15" s="2478"/>
      <c r="E15" s="2478">
        <f>SUM(E12:E14)</f>
        <v>0</v>
      </c>
      <c r="F15" s="2479"/>
      <c r="G15" s="2476"/>
      <c r="H15" s="2483"/>
      <c r="I15" s="2484">
        <f>SUM(I12:I14)</f>
        <v>0</v>
      </c>
    </row>
    <row r="16" spans="1:9" ht="24">
      <c r="A16" s="3464" t="s">
        <v>2495</v>
      </c>
      <c r="B16" s="3465" t="s">
        <v>2496</v>
      </c>
      <c r="C16" s="3465"/>
      <c r="D16" s="2474" t="s">
        <v>2497</v>
      </c>
      <c r="E16" s="2485" t="s">
        <v>2498</v>
      </c>
      <c r="F16" s="2475" t="s">
        <v>2499</v>
      </c>
      <c r="G16" s="2476" t="s">
        <v>2489</v>
      </c>
      <c r="H16" s="2482" t="s">
        <v>2490</v>
      </c>
      <c r="I16" s="2473" t="s">
        <v>2491</v>
      </c>
    </row>
    <row r="17" spans="1:9" ht="14.25">
      <c r="A17" s="3464"/>
      <c r="B17" s="3465" t="s">
        <v>2500</v>
      </c>
      <c r="C17" s="3465"/>
      <c r="D17" s="2474"/>
      <c r="E17" s="2474"/>
      <c r="F17" s="2475"/>
      <c r="G17" s="2476"/>
      <c r="H17" s="2486"/>
      <c r="I17" s="2487">
        <f>ROUND(D17*E17*F17*G17/10000,0)</f>
        <v>0</v>
      </c>
    </row>
    <row r="18" spans="1:9" ht="14.25">
      <c r="A18" s="3464"/>
      <c r="B18" s="3465" t="s">
        <v>2501</v>
      </c>
      <c r="C18" s="3465"/>
      <c r="D18" s="2474"/>
      <c r="E18" s="2474"/>
      <c r="F18" s="2475"/>
      <c r="G18" s="2476"/>
      <c r="H18" s="2486"/>
      <c r="I18" s="2487">
        <f>ROUND(D18*E18*F18*G18/10000,0)</f>
        <v>0</v>
      </c>
    </row>
    <row r="19" spans="1:9" ht="14.25">
      <c r="A19" s="3464"/>
      <c r="B19" s="3465" t="s">
        <v>2502</v>
      </c>
      <c r="C19" s="3465"/>
      <c r="D19" s="2474"/>
      <c r="E19" s="2474"/>
      <c r="F19" s="2475"/>
      <c r="G19" s="2476"/>
      <c r="H19" s="2486"/>
      <c r="I19" s="2487">
        <f>ROUND(D19*E19*F19*G19/10000,0)</f>
        <v>0</v>
      </c>
    </row>
    <row r="20" spans="1:9">
      <c r="A20" s="3464"/>
      <c r="B20" s="3466" t="s">
        <v>2483</v>
      </c>
      <c r="C20" s="3466"/>
      <c r="D20" s="2478">
        <f>SUM(D17:D19)</f>
        <v>0</v>
      </c>
      <c r="E20" s="2478"/>
      <c r="F20" s="2479"/>
      <c r="G20" s="2476"/>
      <c r="H20" s="2483"/>
      <c r="I20" s="2484">
        <f>SUM(I17:I19)</f>
        <v>0</v>
      </c>
    </row>
    <row r="21" spans="1:9">
      <c r="A21" s="3464" t="s">
        <v>2503</v>
      </c>
      <c r="B21" s="3468"/>
      <c r="C21" s="3468"/>
      <c r="D21" s="3468"/>
      <c r="E21" s="3468"/>
      <c r="F21" s="3468"/>
      <c r="G21" s="3468"/>
      <c r="H21" s="2488">
        <v>0.1</v>
      </c>
      <c r="I21" s="2481">
        <f>ROUND(I10*H21,0)</f>
        <v>0</v>
      </c>
    </row>
    <row r="22" spans="1:9" ht="14.25">
      <c r="A22" s="3469" t="s">
        <v>2504</v>
      </c>
      <c r="B22" s="3470"/>
      <c r="C22" s="3471"/>
      <c r="D22" s="2489" t="s">
        <v>2505</v>
      </c>
      <c r="E22" s="2489" t="s">
        <v>2506</v>
      </c>
      <c r="F22" s="2490" t="s">
        <v>2507</v>
      </c>
      <c r="G22" s="2490" t="s">
        <v>2508</v>
      </c>
      <c r="H22" s="2482" t="s">
        <v>2509</v>
      </c>
      <c r="I22" s="2473" t="s">
        <v>2510</v>
      </c>
    </row>
    <row r="23" spans="1:9" ht="14.25" thickBot="1">
      <c r="A23" s="3472"/>
      <c r="B23" s="3473"/>
      <c r="C23" s="3474"/>
      <c r="D23" s="2491"/>
      <c r="E23" s="2491"/>
      <c r="F23" s="2491"/>
      <c r="G23" s="2492"/>
      <c r="H23" s="2493"/>
      <c r="I23" s="2494">
        <f>ROUND(E23*D23*F23*(1-G23)/10000,0)</f>
        <v>0</v>
      </c>
    </row>
    <row r="26" spans="1:9">
      <c r="A26" s="2495" t="s">
        <v>2511</v>
      </c>
      <c r="B26" s="2495"/>
      <c r="C26" s="2495"/>
      <c r="D26" s="2495"/>
      <c r="E26" s="3475">
        <f>C27-C30-C31-C32</f>
        <v>0</v>
      </c>
      <c r="F26" s="3475"/>
      <c r="G26" s="3475"/>
      <c r="H26" s="2996" t="s">
        <v>2838</v>
      </c>
    </row>
    <row r="27" spans="1:9">
      <c r="A27" s="2496">
        <v>1</v>
      </c>
      <c r="B27" s="2497" t="s">
        <v>2512</v>
      </c>
      <c r="C27" s="2497"/>
      <c r="D27" s="2497"/>
      <c r="E27" s="3476"/>
      <c r="F27" s="3476"/>
      <c r="G27" s="3476"/>
    </row>
    <row r="28" spans="1:9">
      <c r="A28" s="2498" t="s">
        <v>2513</v>
      </c>
      <c r="B28" s="2497" t="s">
        <v>2514</v>
      </c>
      <c r="C28" s="2497"/>
      <c r="D28" s="2497"/>
      <c r="E28" s="3476"/>
      <c r="F28" s="3476"/>
      <c r="G28" s="3476"/>
    </row>
    <row r="29" spans="1:9">
      <c r="A29" s="2498" t="s">
        <v>2515</v>
      </c>
      <c r="B29" s="2497" t="s">
        <v>2456</v>
      </c>
      <c r="C29" s="2497"/>
      <c r="D29" s="2497"/>
      <c r="E29" s="2497" t="s">
        <v>2516</v>
      </c>
      <c r="F29" s="2497"/>
      <c r="G29" s="2497"/>
    </row>
    <row r="30" spans="1:9">
      <c r="A30" s="2496">
        <v>2</v>
      </c>
      <c r="B30" s="2497" t="s">
        <v>2517</v>
      </c>
      <c r="C30" s="2497">
        <f>C27*D30</f>
        <v>0</v>
      </c>
      <c r="D30" s="2499">
        <v>0.2</v>
      </c>
      <c r="E30" s="2497" t="s">
        <v>2518</v>
      </c>
      <c r="F30" s="2497"/>
      <c r="G30" s="2497"/>
    </row>
    <row r="31" spans="1:9">
      <c r="A31" s="2496">
        <v>3</v>
      </c>
      <c r="B31" s="2497" t="s">
        <v>2519</v>
      </c>
      <c r="C31" s="2497">
        <f>C25*D31</f>
        <v>0</v>
      </c>
      <c r="D31" s="2499">
        <v>0.15</v>
      </c>
      <c r="E31" s="2497" t="s">
        <v>2520</v>
      </c>
      <c r="F31" s="2497"/>
      <c r="G31" s="2497"/>
    </row>
    <row r="32" spans="1:9">
      <c r="A32" s="2496">
        <v>4</v>
      </c>
      <c r="B32" s="2497" t="s">
        <v>2521</v>
      </c>
      <c r="C32" s="2497">
        <f>C27*D32</f>
        <v>0</v>
      </c>
      <c r="D32" s="2499">
        <v>0.05</v>
      </c>
      <c r="E32" s="3467"/>
      <c r="F32" s="3467"/>
      <c r="G32" s="3467"/>
    </row>
    <row r="33" spans="1:7" hidden="1">
      <c r="A33" s="3477" t="s">
        <v>2522</v>
      </c>
      <c r="B33" s="3478"/>
      <c r="C33" s="3478"/>
      <c r="D33" s="3479"/>
      <c r="E33" s="3475"/>
      <c r="F33" s="3475"/>
      <c r="G33" s="3475"/>
    </row>
    <row r="34" spans="1:7" hidden="1">
      <c r="A34" s="2500">
        <v>1</v>
      </c>
      <c r="B34" s="2497" t="s">
        <v>2523</v>
      </c>
      <c r="C34" s="2497"/>
      <c r="D34" s="2497"/>
      <c r="E34" s="3476"/>
      <c r="F34" s="3476"/>
      <c r="G34" s="3476"/>
    </row>
    <row r="35" spans="1:7" hidden="1">
      <c r="A35" s="2500">
        <v>2</v>
      </c>
      <c r="B35" s="2497" t="s">
        <v>2524</v>
      </c>
      <c r="C35" s="2497"/>
      <c r="D35" s="2497"/>
      <c r="E35" s="3476"/>
      <c r="F35" s="3476"/>
      <c r="G35" s="3476"/>
    </row>
    <row r="36" spans="1:7" hidden="1">
      <c r="A36" s="2500">
        <v>3</v>
      </c>
      <c r="B36" s="2497" t="s">
        <v>2525</v>
      </c>
      <c r="C36" s="2497"/>
      <c r="D36" s="2497"/>
      <c r="E36" s="3476"/>
      <c r="F36" s="3476"/>
      <c r="G36" s="3476"/>
    </row>
    <row r="37" spans="1:7" hidden="1">
      <c r="A37" s="2500">
        <v>4</v>
      </c>
      <c r="B37" s="2497" t="s">
        <v>2526</v>
      </c>
      <c r="C37" s="2497"/>
      <c r="D37" s="2497"/>
      <c r="E37" s="3476"/>
      <c r="F37" s="3476"/>
      <c r="G37" s="3476"/>
    </row>
    <row r="38" spans="1:7" hidden="1">
      <c r="A38" s="3477" t="s">
        <v>2527</v>
      </c>
      <c r="B38" s="3478"/>
      <c r="C38" s="3478"/>
      <c r="D38" s="3479"/>
      <c r="E38" s="3475"/>
      <c r="F38" s="3475"/>
      <c r="G38" s="347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2437</v>
      </c>
      <c r="B8" s="2437" t="s">
        <v>2439</v>
      </c>
      <c r="C8" s="2438"/>
      <c r="D8" s="749"/>
      <c r="E8" s="750"/>
      <c r="F8" s="750"/>
      <c r="G8" s="751"/>
    </row>
    <row r="9" spans="1:25" s="2169" customFormat="1" ht="13.5" customHeight="1">
      <c r="A9" s="2434" t="s">
        <v>2438</v>
      </c>
      <c r="B9" s="2437" t="s">
        <v>2440</v>
      </c>
      <c r="C9" s="2438"/>
      <c r="D9" s="749"/>
      <c r="E9" s="750"/>
      <c r="F9" s="750"/>
      <c r="G9" s="751"/>
    </row>
    <row r="10" spans="1:25" s="2169" customFormat="1" ht="36">
      <c r="A10" s="2434">
        <v>2</v>
      </c>
      <c r="B10" s="748" t="s">
        <v>613</v>
      </c>
      <c r="C10" s="749">
        <f>C11+C14+C15</f>
        <v>0</v>
      </c>
      <c r="D10" s="760">
        <f>'数据-汇总表'!E3</f>
        <v>310119.66000000003</v>
      </c>
      <c r="E10" s="749">
        <f>'数据-取费表'!B31</f>
        <v>200</v>
      </c>
      <c r="F10" s="761"/>
      <c r="G10" s="759" t="s">
        <v>614</v>
      </c>
    </row>
    <row r="11" spans="1:25" s="2169" customFormat="1" ht="13.5" customHeight="1">
      <c r="A11" s="2434" t="s">
        <v>2437</v>
      </c>
      <c r="B11" s="752" t="s">
        <v>610</v>
      </c>
      <c r="C11" s="753">
        <f>'数据-取费表'!B29</f>
        <v>0</v>
      </c>
      <c r="D11" s="754"/>
      <c r="E11" s="753"/>
      <c r="F11" s="755"/>
      <c r="G11" s="2443" t="s">
        <v>2448</v>
      </c>
    </row>
    <row r="12" spans="1:25" s="2169" customFormat="1" ht="13.5" customHeight="1">
      <c r="A12" s="2441" t="s">
        <v>2445</v>
      </c>
      <c r="B12" s="756" t="s">
        <v>611</v>
      </c>
      <c r="C12" s="757">
        <f>ROUND(D12*E12/10000,0)</f>
        <v>3163</v>
      </c>
      <c r="D12" s="758">
        <f>'数据-汇总表'!E5</f>
        <v>263601.71000000002</v>
      </c>
      <c r="E12" s="757">
        <f>'数据-取费表'!B27</f>
        <v>120</v>
      </c>
      <c r="F12" s="755"/>
      <c r="G12" s="759"/>
    </row>
    <row r="13" spans="1:25" s="2169" customFormat="1" ht="13.5" customHeight="1">
      <c r="A13" s="2441" t="s">
        <v>2444</v>
      </c>
      <c r="B13" s="756" t="s">
        <v>612</v>
      </c>
      <c r="C13" s="757">
        <f>ROUND(D13*E13/10000,0)</f>
        <v>558</v>
      </c>
      <c r="D13" s="758">
        <f>'数据-汇总表'!E6</f>
        <v>46517.950000000012</v>
      </c>
      <c r="E13" s="757">
        <f>'数据-取费表'!B28</f>
        <v>120</v>
      </c>
      <c r="F13" s="755"/>
      <c r="G13" s="759"/>
    </row>
    <row r="14" spans="1:25" s="2169" customFormat="1" ht="13.5" customHeight="1">
      <c r="A14" s="2434" t="s">
        <v>2438</v>
      </c>
      <c r="B14" s="2440" t="s">
        <v>2441</v>
      </c>
      <c r="C14" s="2438"/>
      <c r="D14" s="758"/>
      <c r="E14" s="757"/>
      <c r="F14" s="2439"/>
      <c r="G14" s="2442" t="s">
        <v>2446</v>
      </c>
    </row>
    <row r="15" spans="1:25" s="2169" customFormat="1" ht="13.5" customHeight="1">
      <c r="A15" s="2434" t="s">
        <v>2443</v>
      </c>
      <c r="B15" s="2440" t="s">
        <v>2442</v>
      </c>
      <c r="C15" s="2438"/>
      <c r="D15" s="758"/>
      <c r="E15" s="757"/>
      <c r="F15" s="2439"/>
      <c r="G15" s="2442" t="s">
        <v>2447</v>
      </c>
    </row>
    <row r="16" spans="1:25" s="2170" customFormat="1" ht="48">
      <c r="A16" s="2434">
        <v>3</v>
      </c>
      <c r="B16" s="748" t="s">
        <v>615</v>
      </c>
      <c r="C16" s="2438"/>
      <c r="D16" s="760"/>
      <c r="E16" s="749"/>
      <c r="F16" s="761"/>
      <c r="G16" s="759" t="s">
        <v>2449</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0.15</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0.92900000000000005</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757</v>
      </c>
      <c r="C1" s="504" t="s">
        <v>720</v>
      </c>
      <c r="D1" s="2335"/>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65" t="s">
        <v>522</v>
      </c>
      <c r="D4" s="3366"/>
      <c r="E4" s="3399" t="s">
        <v>523</v>
      </c>
      <c r="F4" s="3400"/>
      <c r="G4" s="3365" t="s">
        <v>524</v>
      </c>
      <c r="H4" s="3366"/>
      <c r="I4" s="3365" t="s">
        <v>525</v>
      </c>
      <c r="J4" s="3366"/>
      <c r="K4" s="514" t="s">
        <v>526</v>
      </c>
      <c r="L4" s="2119"/>
      <c r="M4" s="2120"/>
      <c r="N4" s="2120"/>
      <c r="O4" s="2120"/>
      <c r="P4" s="3367" t="s">
        <v>527</v>
      </c>
      <c r="Q4" s="3368"/>
      <c r="R4" s="3373" t="s">
        <v>523</v>
      </c>
      <c r="S4" s="3374"/>
      <c r="T4" s="3373" t="s">
        <v>524</v>
      </c>
      <c r="U4" s="3374"/>
      <c r="V4" s="3360" t="s">
        <v>525</v>
      </c>
      <c r="W4" s="3360"/>
      <c r="X4" s="1554"/>
      <c r="Y4" s="3373" t="s">
        <v>527</v>
      </c>
      <c r="Z4" s="3374"/>
      <c r="AA4" s="3362" t="s">
        <v>523</v>
      </c>
      <c r="AB4" s="3360" t="s">
        <v>524</v>
      </c>
      <c r="AC4" s="3362" t="s">
        <v>525</v>
      </c>
    </row>
    <row r="5" spans="1:29" ht="15">
      <c r="A5" s="515"/>
      <c r="B5" s="516"/>
      <c r="C5" s="3381" t="s">
        <v>2925</v>
      </c>
      <c r="D5" s="3382"/>
      <c r="E5" s="3401" t="s">
        <v>2926</v>
      </c>
      <c r="F5" s="3402"/>
      <c r="G5" s="3381" t="s">
        <v>2927</v>
      </c>
      <c r="H5" s="3382"/>
      <c r="I5" s="3381" t="s">
        <v>2928</v>
      </c>
      <c r="J5" s="3382"/>
      <c r="K5" s="514"/>
      <c r="L5" s="2119"/>
      <c r="M5" s="2120"/>
      <c r="N5" s="2120"/>
      <c r="O5" s="2120"/>
      <c r="P5" s="3369"/>
      <c r="Q5" s="3370"/>
      <c r="R5" s="3375"/>
      <c r="S5" s="3376"/>
      <c r="T5" s="3375"/>
      <c r="U5" s="3376"/>
      <c r="V5" s="3360"/>
      <c r="W5" s="3360"/>
      <c r="X5" s="1554"/>
      <c r="Y5" s="3375"/>
      <c r="Z5" s="3376"/>
      <c r="AA5" s="3363"/>
      <c r="AB5" s="3360"/>
      <c r="AC5" s="3363"/>
    </row>
    <row r="6" spans="1:29" ht="15.75" thickBot="1">
      <c r="A6" s="517"/>
      <c r="B6" s="518"/>
      <c r="C6" s="3379" t="s">
        <v>2929</v>
      </c>
      <c r="D6" s="3380"/>
      <c r="E6" s="3397" t="s">
        <v>2929</v>
      </c>
      <c r="F6" s="3398"/>
      <c r="G6" s="3379" t="s">
        <v>2929</v>
      </c>
      <c r="H6" s="3380"/>
      <c r="I6" s="3379" t="s">
        <v>2929</v>
      </c>
      <c r="J6" s="3380"/>
      <c r="K6" s="514" t="s">
        <v>528</v>
      </c>
      <c r="L6" s="2119"/>
      <c r="M6" s="2120"/>
      <c r="N6" s="2120"/>
      <c r="O6" s="2120"/>
      <c r="P6" s="3371"/>
      <c r="Q6" s="3372"/>
      <c r="R6" s="3375"/>
      <c r="S6" s="3376"/>
      <c r="T6" s="3377"/>
      <c r="U6" s="3378"/>
      <c r="V6" s="3360"/>
      <c r="W6" s="3360"/>
      <c r="X6" s="1554"/>
      <c r="Y6" s="3377"/>
      <c r="Z6" s="3378"/>
      <c r="AA6" s="3364"/>
      <c r="AB6" s="3360"/>
      <c r="AC6" s="3364"/>
    </row>
    <row r="7" spans="1:29" s="1216" customFormat="1" ht="15.75" thickBot="1">
      <c r="A7" s="2868"/>
      <c r="B7" s="2875" t="s">
        <v>529</v>
      </c>
      <c r="C7" s="519">
        <f>'数据-取费表'!B2</f>
        <v>43927</v>
      </c>
      <c r="D7" s="520">
        <v>100</v>
      </c>
      <c r="E7" s="521"/>
      <c r="F7" s="522">
        <f>SUMIF(58:58,YEAR(E7)&amp;"-"&amp;MONTH(E7),59:59)</f>
        <v>0</v>
      </c>
      <c r="G7" s="521"/>
      <c r="H7" s="520">
        <f>SUMIF(58:58,YEAR(G7)&amp;"-"&amp;MONTH(G7),59:59)</f>
        <v>0</v>
      </c>
      <c r="I7" s="521"/>
      <c r="J7" s="520">
        <f>SUMIF(58:58,YEAR(I7)&amp;"-"&amp;MONTH(I7),59:59)</f>
        <v>0</v>
      </c>
      <c r="K7" s="524"/>
      <c r="L7" s="2121"/>
      <c r="M7" s="2122"/>
      <c r="N7" s="2122"/>
      <c r="O7" s="2122"/>
      <c r="P7" s="3390" t="s">
        <v>530</v>
      </c>
      <c r="Q7" s="3392"/>
      <c r="R7" s="1555" t="s">
        <v>8</v>
      </c>
      <c r="S7" s="1556">
        <f t="shared" ref="S7:S15" si="0">F7</f>
        <v>0</v>
      </c>
      <c r="T7" s="1555" t="s">
        <v>8</v>
      </c>
      <c r="U7" s="1556">
        <f t="shared" ref="U7:U15" si="1">H7</f>
        <v>0</v>
      </c>
      <c r="V7" s="1555" t="s">
        <v>8</v>
      </c>
      <c r="W7" s="1556">
        <f t="shared" ref="W7:W15" si="2">J7</f>
        <v>0</v>
      </c>
      <c r="X7" s="1557"/>
      <c r="Y7" s="3390" t="s">
        <v>530</v>
      </c>
      <c r="Z7" s="3391"/>
      <c r="AA7" s="1558" t="e">
        <f>D7/F7</f>
        <v>#DIV/0!</v>
      </c>
      <c r="AB7" s="1558" t="e">
        <f>D7/H7</f>
        <v>#DIV/0!</v>
      </c>
      <c r="AC7" s="1558" t="e">
        <f>D7/J7</f>
        <v>#DIV/0!</v>
      </c>
    </row>
    <row r="8" spans="1:29" s="1216" customFormat="1" ht="15.75" thickBot="1">
      <c r="A8" s="2869"/>
      <c r="B8" s="2876"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390" t="s">
        <v>533</v>
      </c>
      <c r="Q8" s="3391"/>
      <c r="R8" s="1555" t="s">
        <v>8</v>
      </c>
      <c r="S8" s="1556">
        <f t="shared" si="0"/>
        <v>0</v>
      </c>
      <c r="T8" s="1555" t="s">
        <v>8</v>
      </c>
      <c r="U8" s="1556">
        <f t="shared" si="1"/>
        <v>0</v>
      </c>
      <c r="V8" s="1555" t="s">
        <v>8</v>
      </c>
      <c r="W8" s="1556">
        <f t="shared" si="2"/>
        <v>0</v>
      </c>
      <c r="X8" s="1557"/>
      <c r="Y8" s="3390" t="s">
        <v>533</v>
      </c>
      <c r="Z8" s="3391"/>
      <c r="AA8" s="1558" t="e">
        <f t="shared" ref="AA8:AA46" si="3">D8/F8</f>
        <v>#DIV/0!</v>
      </c>
      <c r="AB8" s="1558" t="e">
        <f t="shared" ref="AB8:AB46" si="4">D8/H8</f>
        <v>#DIV/0!</v>
      </c>
      <c r="AC8" s="1558" t="e">
        <f t="shared" ref="AC8:AC46" si="5">D8/J8</f>
        <v>#DIV/0!</v>
      </c>
    </row>
    <row r="9" spans="1:29" s="1216" customFormat="1" ht="15">
      <c r="A9" s="2870"/>
      <c r="B9" s="2877" t="s">
        <v>2751</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359" t="s">
        <v>535</v>
      </c>
      <c r="Q9" s="1147" t="str">
        <f t="shared" ref="Q9:Q15" si="6">B9</f>
        <v>用途</v>
      </c>
      <c r="R9" s="1555" t="s">
        <v>8</v>
      </c>
      <c r="S9" s="1556">
        <f t="shared" si="0"/>
        <v>100</v>
      </c>
      <c r="T9" s="1555" t="s">
        <v>8</v>
      </c>
      <c r="U9" s="1556">
        <f t="shared" si="1"/>
        <v>100</v>
      </c>
      <c r="V9" s="1555" t="s">
        <v>8</v>
      </c>
      <c r="W9" s="1556">
        <f t="shared" si="2"/>
        <v>100</v>
      </c>
      <c r="X9" s="1557"/>
      <c r="Y9" s="3305" t="s">
        <v>536</v>
      </c>
      <c r="Z9" s="1146" t="str">
        <f t="shared" ref="Z9:Z15" si="7">Q9</f>
        <v>用途</v>
      </c>
      <c r="AA9" s="1558">
        <f t="shared" si="3"/>
        <v>1</v>
      </c>
      <c r="AB9" s="1558">
        <f t="shared" si="4"/>
        <v>1</v>
      </c>
      <c r="AC9" s="1558">
        <f t="shared" si="5"/>
        <v>1</v>
      </c>
    </row>
    <row r="10" spans="1:29" s="1334" customFormat="1" ht="27">
      <c r="A10" s="2871"/>
      <c r="B10" s="2876" t="s">
        <v>2752</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
      <c r="A11" s="2872"/>
      <c r="B11" s="2876" t="s">
        <v>2753</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359"/>
      <c r="Q11" s="1147" t="str">
        <f t="shared" si="6"/>
        <v>容积率</v>
      </c>
      <c r="R11" s="1555" t="s">
        <v>8</v>
      </c>
      <c r="S11" s="1556" t="e">
        <f t="shared" si="0"/>
        <v>#N/A</v>
      </c>
      <c r="T11" s="1555" t="s">
        <v>8</v>
      </c>
      <c r="U11" s="1556" t="e">
        <f t="shared" si="1"/>
        <v>#N/A</v>
      </c>
      <c r="V11" s="1555" t="s">
        <v>8</v>
      </c>
      <c r="W11" s="1556" t="e">
        <f t="shared" si="2"/>
        <v>#N/A</v>
      </c>
      <c r="X11" s="1557"/>
      <c r="Y11" s="330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59"/>
      <c r="Q12" s="1147">
        <f t="shared" si="6"/>
        <v>111</v>
      </c>
      <c r="R12" s="1555" t="s">
        <v>8</v>
      </c>
      <c r="S12" s="1556">
        <f t="shared" si="0"/>
        <v>100</v>
      </c>
      <c r="T12" s="1555" t="s">
        <v>8</v>
      </c>
      <c r="U12" s="1556">
        <f t="shared" si="1"/>
        <v>100</v>
      </c>
      <c r="V12" s="1555" t="s">
        <v>8</v>
      </c>
      <c r="W12" s="1556">
        <f t="shared" si="2"/>
        <v>100</v>
      </c>
      <c r="X12" s="1557"/>
      <c r="Y12" s="3305"/>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59"/>
      <c r="Q13" s="1147">
        <f t="shared" si="6"/>
        <v>111</v>
      </c>
      <c r="R13" s="1555" t="s">
        <v>8</v>
      </c>
      <c r="S13" s="1556">
        <f t="shared" si="0"/>
        <v>100</v>
      </c>
      <c r="T13" s="1555" t="s">
        <v>8</v>
      </c>
      <c r="U13" s="1556">
        <f t="shared" si="1"/>
        <v>100</v>
      </c>
      <c r="V13" s="1555" t="s">
        <v>8</v>
      </c>
      <c r="W13" s="1556">
        <f t="shared" si="2"/>
        <v>100</v>
      </c>
      <c r="X13" s="1557"/>
      <c r="Y13" s="3305"/>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59"/>
      <c r="Q14" s="1147">
        <f t="shared" si="6"/>
        <v>111</v>
      </c>
      <c r="R14" s="1555" t="s">
        <v>8</v>
      </c>
      <c r="S14" s="1556">
        <f t="shared" si="0"/>
        <v>100</v>
      </c>
      <c r="T14" s="1555" t="s">
        <v>8</v>
      </c>
      <c r="U14" s="1556">
        <f t="shared" si="1"/>
        <v>100</v>
      </c>
      <c r="V14" s="1555" t="s">
        <v>8</v>
      </c>
      <c r="W14" s="1556">
        <f t="shared" si="2"/>
        <v>100</v>
      </c>
      <c r="X14" s="1557"/>
      <c r="Y14" s="3305"/>
      <c r="Z14" s="1146">
        <f t="shared" si="7"/>
        <v>111</v>
      </c>
      <c r="AA14" s="1558">
        <f t="shared" si="3"/>
        <v>1</v>
      </c>
      <c r="AB14" s="1558">
        <f t="shared" si="4"/>
        <v>1</v>
      </c>
      <c r="AC14" s="1558">
        <f t="shared" si="5"/>
        <v>1</v>
      </c>
    </row>
    <row r="15" spans="1:29" ht="71.25">
      <c r="A15" s="2866" t="s">
        <v>2749</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393" t="s">
        <v>540</v>
      </c>
      <c r="Q15" s="1559" t="str">
        <f t="shared" si="6"/>
        <v>商业繁华度</v>
      </c>
      <c r="R15" s="1560" t="s">
        <v>8</v>
      </c>
      <c r="S15" s="1561">
        <f t="shared" si="0"/>
        <v>100</v>
      </c>
      <c r="T15" s="1560" t="s">
        <v>8</v>
      </c>
      <c r="U15" s="1561">
        <f t="shared" si="1"/>
        <v>100</v>
      </c>
      <c r="V15" s="1560" t="s">
        <v>8</v>
      </c>
      <c r="W15" s="1561">
        <f t="shared" si="2"/>
        <v>100</v>
      </c>
      <c r="X15" s="1554"/>
      <c r="Y15" s="3393"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94"/>
      <c r="Q16" s="1559"/>
      <c r="R16" s="1560"/>
      <c r="S16" s="1561"/>
      <c r="T16" s="1560"/>
      <c r="U16" s="1561"/>
      <c r="V16" s="1560"/>
      <c r="W16" s="1561"/>
      <c r="X16" s="1554"/>
      <c r="Y16" s="3394"/>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394"/>
      <c r="Q17" s="1559" t="str">
        <f>B17</f>
        <v>交通便捷度</v>
      </c>
      <c r="R17" s="1560" t="s">
        <v>8</v>
      </c>
      <c r="S17" s="1561">
        <f>F17</f>
        <v>100</v>
      </c>
      <c r="T17" s="1560" t="s">
        <v>8</v>
      </c>
      <c r="U17" s="1561">
        <f>H17</f>
        <v>100</v>
      </c>
      <c r="V17" s="1560" t="s">
        <v>8</v>
      </c>
      <c r="W17" s="1561">
        <f>J17</f>
        <v>100</v>
      </c>
      <c r="X17" s="1554"/>
      <c r="Y17" s="3394"/>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94"/>
      <c r="Q18" s="1559"/>
      <c r="R18" s="1560"/>
      <c r="S18" s="1561"/>
      <c r="T18" s="1560"/>
      <c r="U18" s="1561"/>
      <c r="V18" s="1560"/>
      <c r="W18" s="1561"/>
      <c r="X18" s="1554"/>
      <c r="Y18" s="3394"/>
      <c r="Z18" s="1562"/>
      <c r="AA18" s="1563">
        <v>1</v>
      </c>
      <c r="AB18" s="1563">
        <v>1</v>
      </c>
      <c r="AC18" s="1563">
        <v>1</v>
      </c>
    </row>
    <row r="19" spans="1:29" ht="42.75">
      <c r="A19" s="532"/>
      <c r="B19" s="2565" t="s">
        <v>2542</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394"/>
      <c r="Q19" s="1559" t="str">
        <f>B19</f>
        <v>公共配套设施</v>
      </c>
      <c r="R19" s="1560" t="s">
        <v>8</v>
      </c>
      <c r="S19" s="1561">
        <f>F19</f>
        <v>100</v>
      </c>
      <c r="T19" s="1560" t="s">
        <v>8</v>
      </c>
      <c r="U19" s="1561">
        <f>H19</f>
        <v>100</v>
      </c>
      <c r="V19" s="1560" t="s">
        <v>8</v>
      </c>
      <c r="W19" s="1561">
        <f>J19</f>
        <v>100</v>
      </c>
      <c r="X19" s="1554"/>
      <c r="Y19" s="3394"/>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394"/>
      <c r="Q20" s="1559"/>
      <c r="R20" s="1560"/>
      <c r="S20" s="1561"/>
      <c r="T20" s="1560"/>
      <c r="U20" s="1561"/>
      <c r="V20" s="1560"/>
      <c r="W20" s="1561"/>
      <c r="X20" s="1554"/>
      <c r="Y20" s="3394"/>
      <c r="Z20" s="1562"/>
      <c r="AA20" s="1563">
        <v>1</v>
      </c>
      <c r="AB20" s="1563">
        <v>1</v>
      </c>
      <c r="AC20" s="1563">
        <v>1</v>
      </c>
    </row>
    <row r="21" spans="1:29" ht="28.5">
      <c r="A21" s="532"/>
      <c r="B21" s="2558" t="s">
        <v>2554</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394"/>
      <c r="Q21" s="2544" t="str">
        <f>B21</f>
        <v>基础设施水平</v>
      </c>
      <c r="R21" s="1560" t="s">
        <v>8</v>
      </c>
      <c r="S21" s="1561">
        <f>F21</f>
        <v>100</v>
      </c>
      <c r="T21" s="1560" t="s">
        <v>8</v>
      </c>
      <c r="U21" s="1561">
        <f>H21</f>
        <v>100</v>
      </c>
      <c r="V21" s="1560" t="s">
        <v>8</v>
      </c>
      <c r="W21" s="1561">
        <f>J21</f>
        <v>100</v>
      </c>
      <c r="X21" s="2546"/>
      <c r="Y21" s="3394"/>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394"/>
      <c r="Q22" s="2544"/>
      <c r="R22" s="1560"/>
      <c r="S22" s="1561"/>
      <c r="T22" s="1560"/>
      <c r="U22" s="1561"/>
      <c r="V22" s="1560"/>
      <c r="W22" s="1561"/>
      <c r="X22" s="2546"/>
      <c r="Y22" s="3394"/>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394"/>
      <c r="Q23" s="1559" t="str">
        <f>B23</f>
        <v>自然及人文环境</v>
      </c>
      <c r="R23" s="1560" t="s">
        <v>8</v>
      </c>
      <c r="S23" s="1561">
        <f>F23</f>
        <v>100</v>
      </c>
      <c r="T23" s="1560" t="s">
        <v>8</v>
      </c>
      <c r="U23" s="1561">
        <f>H23</f>
        <v>100</v>
      </c>
      <c r="V23" s="1560" t="s">
        <v>8</v>
      </c>
      <c r="W23" s="1561">
        <f>J23</f>
        <v>100</v>
      </c>
      <c r="X23" s="1554"/>
      <c r="Y23" s="3394"/>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394"/>
      <c r="Q24" s="1559"/>
      <c r="R24" s="1560"/>
      <c r="S24" s="1561"/>
      <c r="T24" s="1560"/>
      <c r="U24" s="1561"/>
      <c r="V24" s="1560"/>
      <c r="W24" s="1561"/>
      <c r="X24" s="1554"/>
      <c r="Y24" s="3394"/>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394"/>
      <c r="Q25" s="1559" t="str">
        <f t="shared" ref="Q25:Q46" si="11">B25</f>
        <v>临街状况</v>
      </c>
      <c r="R25" s="1560" t="s">
        <v>8</v>
      </c>
      <c r="S25" s="1561">
        <f>F25</f>
        <v>100</v>
      </c>
      <c r="T25" s="1560" t="s">
        <v>8</v>
      </c>
      <c r="U25" s="1561">
        <f>H25</f>
        <v>100</v>
      </c>
      <c r="V25" s="1560" t="s">
        <v>8</v>
      </c>
      <c r="W25" s="1561">
        <f>J25</f>
        <v>100</v>
      </c>
      <c r="X25" s="1554"/>
      <c r="Y25" s="3394"/>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394"/>
      <c r="Q26" s="1559" t="str">
        <f t="shared" si="11"/>
        <v>平面位置/可视性</v>
      </c>
      <c r="R26" s="1560" t="s">
        <v>8</v>
      </c>
      <c r="S26" s="1561">
        <f>F26</f>
        <v>100</v>
      </c>
      <c r="T26" s="1560" t="s">
        <v>8</v>
      </c>
      <c r="U26" s="1561">
        <f>H26</f>
        <v>100</v>
      </c>
      <c r="V26" s="1560" t="s">
        <v>8</v>
      </c>
      <c r="W26" s="1561">
        <f>J26</f>
        <v>100</v>
      </c>
      <c r="X26" s="1554"/>
      <c r="Y26" s="3394"/>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394"/>
      <c r="Q27" s="1147" t="str">
        <f t="shared" si="11"/>
        <v>人流量</v>
      </c>
      <c r="R27" s="1555" t="s">
        <v>8</v>
      </c>
      <c r="S27" s="1556">
        <f>F27</f>
        <v>100</v>
      </c>
      <c r="T27" s="1555" t="s">
        <v>8</v>
      </c>
      <c r="U27" s="1556">
        <f>H27</f>
        <v>100</v>
      </c>
      <c r="V27" s="1555" t="s">
        <v>8</v>
      </c>
      <c r="W27" s="1556">
        <f>J27</f>
        <v>100</v>
      </c>
      <c r="X27" s="1557"/>
      <c r="Y27" s="3394"/>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394"/>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394"/>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394"/>
      <c r="Q29" s="1559">
        <f t="shared" si="11"/>
        <v>111</v>
      </c>
      <c r="R29" s="1560" t="s">
        <v>8</v>
      </c>
      <c r="S29" s="1561">
        <f t="shared" si="12"/>
        <v>100</v>
      </c>
      <c r="T29" s="1560" t="s">
        <v>8</v>
      </c>
      <c r="U29" s="1561">
        <f t="shared" si="13"/>
        <v>100</v>
      </c>
      <c r="V29" s="1560" t="s">
        <v>8</v>
      </c>
      <c r="W29" s="1561">
        <f t="shared" si="14"/>
        <v>100</v>
      </c>
      <c r="X29" s="1554"/>
      <c r="Y29" s="3394"/>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394"/>
      <c r="Q30" s="1559">
        <f t="shared" si="11"/>
        <v>111</v>
      </c>
      <c r="R30" s="1560" t="s">
        <v>8</v>
      </c>
      <c r="S30" s="1561">
        <f t="shared" si="12"/>
        <v>100</v>
      </c>
      <c r="T30" s="1560" t="s">
        <v>8</v>
      </c>
      <c r="U30" s="1561">
        <f t="shared" si="13"/>
        <v>100</v>
      </c>
      <c r="V30" s="1560" t="s">
        <v>8</v>
      </c>
      <c r="W30" s="1561">
        <f t="shared" si="14"/>
        <v>100</v>
      </c>
      <c r="X30" s="1554"/>
      <c r="Y30" s="3394"/>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394"/>
      <c r="Q31" s="1559">
        <f t="shared" si="11"/>
        <v>111</v>
      </c>
      <c r="R31" s="1560" t="s">
        <v>8</v>
      </c>
      <c r="S31" s="1561">
        <f t="shared" si="12"/>
        <v>100</v>
      </c>
      <c r="T31" s="1560" t="s">
        <v>8</v>
      </c>
      <c r="U31" s="1561">
        <f t="shared" si="13"/>
        <v>100</v>
      </c>
      <c r="V31" s="1560" t="s">
        <v>8</v>
      </c>
      <c r="W31" s="1561">
        <f t="shared" si="14"/>
        <v>100</v>
      </c>
      <c r="X31" s="1554"/>
      <c r="Y31" s="3394"/>
      <c r="Z31" s="1562">
        <f t="shared" si="15"/>
        <v>111</v>
      </c>
      <c r="AA31" s="1563">
        <f t="shared" si="3"/>
        <v>1</v>
      </c>
      <c r="AB31" s="1563">
        <f t="shared" si="4"/>
        <v>1</v>
      </c>
      <c r="AC31" s="1563">
        <f t="shared" si="5"/>
        <v>1</v>
      </c>
    </row>
    <row r="32" spans="1:29" ht="15">
      <c r="A32" s="2863" t="s">
        <v>2750</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395" t="s">
        <v>550</v>
      </c>
      <c r="Q32" s="1559" t="str">
        <f t="shared" si="11"/>
        <v>商业类型</v>
      </c>
      <c r="R32" s="1560" t="s">
        <v>8</v>
      </c>
      <c r="S32" s="1561">
        <f t="shared" si="12"/>
        <v>100</v>
      </c>
      <c r="T32" s="1560" t="s">
        <v>8</v>
      </c>
      <c r="U32" s="1561">
        <f t="shared" si="13"/>
        <v>100</v>
      </c>
      <c r="V32" s="1560" t="s">
        <v>8</v>
      </c>
      <c r="W32" s="1561">
        <f t="shared" si="14"/>
        <v>100</v>
      </c>
      <c r="X32" s="1554"/>
      <c r="Y32" s="3396"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396"/>
      <c r="Q33" s="1591" t="str">
        <f t="shared" si="11"/>
        <v>项目建筑规模</v>
      </c>
      <c r="R33" s="1564" t="s">
        <v>8</v>
      </c>
      <c r="S33" s="1565" t="e">
        <f t="shared" si="12"/>
        <v>#N/A</v>
      </c>
      <c r="T33" s="1564" t="s">
        <v>8</v>
      </c>
      <c r="U33" s="1565" t="e">
        <f t="shared" si="13"/>
        <v>#N/A</v>
      </c>
      <c r="V33" s="1564" t="s">
        <v>8</v>
      </c>
      <c r="W33" s="1565" t="e">
        <f t="shared" si="14"/>
        <v>#N/A</v>
      </c>
      <c r="X33" s="1566"/>
      <c r="Y33" s="3396"/>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396"/>
      <c r="Q34" s="1559" t="str">
        <f t="shared" si="11"/>
        <v>建筑结构</v>
      </c>
      <c r="R34" s="1560" t="s">
        <v>8</v>
      </c>
      <c r="S34" s="1561">
        <f t="shared" si="12"/>
        <v>100</v>
      </c>
      <c r="T34" s="1560" t="s">
        <v>8</v>
      </c>
      <c r="U34" s="1561">
        <f t="shared" si="13"/>
        <v>100</v>
      </c>
      <c r="V34" s="1560" t="s">
        <v>8</v>
      </c>
      <c r="W34" s="1561">
        <f t="shared" si="14"/>
        <v>100</v>
      </c>
      <c r="X34" s="1554"/>
      <c r="Y34" s="3396"/>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396"/>
      <c r="Q35" s="1559" t="str">
        <f t="shared" si="11"/>
        <v>公共部分装修</v>
      </c>
      <c r="R35" s="1560" t="s">
        <v>8</v>
      </c>
      <c r="S35" s="1561">
        <f t="shared" si="12"/>
        <v>100</v>
      </c>
      <c r="T35" s="1560" t="s">
        <v>8</v>
      </c>
      <c r="U35" s="1561">
        <f t="shared" si="13"/>
        <v>100</v>
      </c>
      <c r="V35" s="1560" t="s">
        <v>8</v>
      </c>
      <c r="W35" s="1561">
        <f t="shared" si="14"/>
        <v>100</v>
      </c>
      <c r="X35" s="1554"/>
      <c r="Y35" s="3396"/>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396"/>
      <c r="Q36" s="1559" t="str">
        <f t="shared" si="11"/>
        <v>成新度</v>
      </c>
      <c r="R36" s="1560" t="s">
        <v>8</v>
      </c>
      <c r="S36" s="1561" t="e">
        <f t="shared" si="12"/>
        <v>#N/A</v>
      </c>
      <c r="T36" s="1560" t="s">
        <v>8</v>
      </c>
      <c r="U36" s="1561" t="e">
        <f t="shared" si="13"/>
        <v>#N/A</v>
      </c>
      <c r="V36" s="1560" t="s">
        <v>8</v>
      </c>
      <c r="W36" s="1561" t="e">
        <f t="shared" si="14"/>
        <v>#N/A</v>
      </c>
      <c r="X36" s="1554"/>
      <c r="Y36" s="3396"/>
      <c r="Z36" s="1562" t="str">
        <f t="shared" si="15"/>
        <v>成新度</v>
      </c>
      <c r="AA36" s="1563" t="e">
        <f t="shared" si="3"/>
        <v>#N/A</v>
      </c>
      <c r="AB36" s="1563" t="e">
        <f t="shared" si="4"/>
        <v>#N/A</v>
      </c>
      <c r="AC36" s="1563" t="e">
        <f t="shared" si="5"/>
        <v>#N/A</v>
      </c>
    </row>
    <row r="37" spans="1:29" s="1216" customFormat="1" ht="15">
      <c r="A37" s="600"/>
      <c r="B37" s="1881" t="s">
        <v>2561</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396"/>
      <c r="Q37" s="1147" t="str">
        <f t="shared" si="11"/>
        <v>市政基础设施</v>
      </c>
      <c r="R37" s="1555" t="s">
        <v>8</v>
      </c>
      <c r="S37" s="1556">
        <f t="shared" si="12"/>
        <v>100</v>
      </c>
      <c r="T37" s="1555" t="s">
        <v>8</v>
      </c>
      <c r="U37" s="1556">
        <f t="shared" si="13"/>
        <v>100</v>
      </c>
      <c r="V37" s="1555" t="s">
        <v>8</v>
      </c>
      <c r="W37" s="1556">
        <f t="shared" si="14"/>
        <v>100</v>
      </c>
      <c r="X37" s="1557"/>
      <c r="Y37" s="3396"/>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396" t="s">
        <v>766</v>
      </c>
      <c r="Q38" s="1559" t="str">
        <f t="shared" si="11"/>
        <v>业态</v>
      </c>
      <c r="R38" s="1560" t="s">
        <v>8</v>
      </c>
      <c r="S38" s="1561">
        <f t="shared" si="12"/>
        <v>100</v>
      </c>
      <c r="T38" s="1560" t="s">
        <v>8</v>
      </c>
      <c r="U38" s="1561">
        <f t="shared" si="13"/>
        <v>100</v>
      </c>
      <c r="V38" s="1560" t="s">
        <v>8</v>
      </c>
      <c r="W38" s="1561">
        <f t="shared" si="14"/>
        <v>100</v>
      </c>
      <c r="X38" s="1554"/>
      <c r="Y38" s="3396"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96"/>
      <c r="Q39" s="1559" t="str">
        <f t="shared" si="11"/>
        <v>层高</v>
      </c>
      <c r="R39" s="1560" t="s">
        <v>8</v>
      </c>
      <c r="S39" s="1561">
        <f t="shared" si="12"/>
        <v>100</v>
      </c>
      <c r="T39" s="1560" t="s">
        <v>8</v>
      </c>
      <c r="U39" s="1561">
        <f t="shared" si="13"/>
        <v>100</v>
      </c>
      <c r="V39" s="1560" t="s">
        <v>8</v>
      </c>
      <c r="W39" s="1561">
        <f t="shared" si="14"/>
        <v>100</v>
      </c>
      <c r="X39" s="1554"/>
      <c r="Y39" s="3396"/>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396"/>
      <c r="Q40" s="1559" t="str">
        <f t="shared" si="11"/>
        <v>单套建筑面积</v>
      </c>
      <c r="R40" s="1560" t="s">
        <v>8</v>
      </c>
      <c r="S40" s="1561">
        <f t="shared" si="12"/>
        <v>100</v>
      </c>
      <c r="T40" s="1560" t="s">
        <v>8</v>
      </c>
      <c r="U40" s="1561">
        <f t="shared" si="13"/>
        <v>100</v>
      </c>
      <c r="V40" s="1560" t="s">
        <v>8</v>
      </c>
      <c r="W40" s="1561">
        <f t="shared" si="14"/>
        <v>100</v>
      </c>
      <c r="X40" s="1554"/>
      <c r="Y40" s="3396"/>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396"/>
      <c r="Q41" s="1591" t="str">
        <f t="shared" si="11"/>
        <v>进深比</v>
      </c>
      <c r="R41" s="1564" t="s">
        <v>8</v>
      </c>
      <c r="S41" s="1565">
        <f t="shared" si="12"/>
        <v>100</v>
      </c>
      <c r="T41" s="1564" t="s">
        <v>8</v>
      </c>
      <c r="U41" s="1565">
        <f t="shared" si="13"/>
        <v>100</v>
      </c>
      <c r="V41" s="1564" t="s">
        <v>8</v>
      </c>
      <c r="W41" s="1565">
        <f t="shared" si="14"/>
        <v>100</v>
      </c>
      <c r="X41" s="1566"/>
      <c r="Y41" s="3396"/>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396"/>
      <c r="Q42" s="1559" t="str">
        <f t="shared" si="11"/>
        <v>内部装修</v>
      </c>
      <c r="R42" s="1560" t="s">
        <v>8</v>
      </c>
      <c r="S42" s="1561">
        <f t="shared" si="12"/>
        <v>100</v>
      </c>
      <c r="T42" s="1560" t="s">
        <v>8</v>
      </c>
      <c r="U42" s="1561">
        <f t="shared" si="13"/>
        <v>100</v>
      </c>
      <c r="V42" s="1560" t="s">
        <v>8</v>
      </c>
      <c r="W42" s="1561">
        <f t="shared" si="14"/>
        <v>100</v>
      </c>
      <c r="X42" s="1554"/>
      <c r="Y42" s="3396"/>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396"/>
      <c r="Q43" s="1559" t="str">
        <f t="shared" si="11"/>
        <v>内部装修维护情况</v>
      </c>
      <c r="R43" s="1560" t="s">
        <v>8</v>
      </c>
      <c r="S43" s="1561">
        <f t="shared" si="12"/>
        <v>100</v>
      </c>
      <c r="T43" s="1560" t="s">
        <v>8</v>
      </c>
      <c r="U43" s="1561">
        <f t="shared" si="13"/>
        <v>100</v>
      </c>
      <c r="V43" s="1560" t="s">
        <v>8</v>
      </c>
      <c r="W43" s="1561">
        <f t="shared" si="14"/>
        <v>100</v>
      </c>
      <c r="X43" s="1554"/>
      <c r="Y43" s="3396"/>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396"/>
      <c r="Q44" s="1147">
        <f t="shared" si="11"/>
        <v>111</v>
      </c>
      <c r="R44" s="1555" t="s">
        <v>8</v>
      </c>
      <c r="S44" s="1556">
        <f t="shared" si="12"/>
        <v>100</v>
      </c>
      <c r="T44" s="1555" t="s">
        <v>8</v>
      </c>
      <c r="U44" s="1556">
        <f t="shared" si="13"/>
        <v>100</v>
      </c>
      <c r="V44" s="1555" t="s">
        <v>8</v>
      </c>
      <c r="W44" s="1556">
        <f t="shared" si="14"/>
        <v>100</v>
      </c>
      <c r="X44" s="1557"/>
      <c r="Y44" s="3396"/>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396"/>
      <c r="Q45" s="1559">
        <f t="shared" si="11"/>
        <v>111</v>
      </c>
      <c r="R45" s="1560" t="s">
        <v>8</v>
      </c>
      <c r="S45" s="1561">
        <f t="shared" si="12"/>
        <v>100</v>
      </c>
      <c r="T45" s="1560" t="s">
        <v>8</v>
      </c>
      <c r="U45" s="1561">
        <f t="shared" si="13"/>
        <v>100</v>
      </c>
      <c r="V45" s="1560" t="s">
        <v>8</v>
      </c>
      <c r="W45" s="1561">
        <f t="shared" si="14"/>
        <v>100</v>
      </c>
      <c r="X45" s="1554"/>
      <c r="Y45" s="3396"/>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54"/>
      <c r="Q46" s="1559">
        <f t="shared" si="11"/>
        <v>111</v>
      </c>
      <c r="R46" s="1560" t="s">
        <v>8</v>
      </c>
      <c r="S46" s="1561">
        <f t="shared" si="12"/>
        <v>100</v>
      </c>
      <c r="T46" s="1560" t="s">
        <v>8</v>
      </c>
      <c r="U46" s="1561">
        <f t="shared" si="13"/>
        <v>100</v>
      </c>
      <c r="V46" s="1560" t="s">
        <v>8</v>
      </c>
      <c r="W46" s="1561">
        <f t="shared" si="14"/>
        <v>100</v>
      </c>
      <c r="X46" s="1554"/>
      <c r="Y46" s="3454"/>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359" t="str">
        <f>A47</f>
        <v>成交单价（元/平方米）</v>
      </c>
      <c r="Q47" s="3359"/>
      <c r="R47" s="3453">
        <f>E47</f>
        <v>0</v>
      </c>
      <c r="S47" s="3453"/>
      <c r="T47" s="3453">
        <f>G47</f>
        <v>0</v>
      </c>
      <c r="U47" s="3453"/>
      <c r="V47" s="3453">
        <f>I47</f>
        <v>0</v>
      </c>
      <c r="W47" s="3453"/>
      <c r="X47" s="1546"/>
      <c r="Y47" s="1568"/>
      <c r="Z47" s="1546"/>
      <c r="AA47" s="1546"/>
      <c r="AB47" s="1546"/>
      <c r="AC47" s="1546"/>
    </row>
    <row r="48" spans="1:29" ht="15.75" thickBot="1">
      <c r="A48" s="615" t="s">
        <v>2755</v>
      </c>
      <c r="B48" s="888"/>
      <c r="C48" s="2598" t="e">
        <f>R49</f>
        <v>#DIV/0!</v>
      </c>
      <c r="D48" s="2599"/>
      <c r="E48" s="2600" t="e">
        <f>R48</f>
        <v>#DIV/0!</v>
      </c>
      <c r="F48" s="2600"/>
      <c r="G48" s="2598" t="e">
        <f>T48</f>
        <v>#DIV/0!</v>
      </c>
      <c r="H48" s="2599"/>
      <c r="I48" s="2600" t="e">
        <f>V48</f>
        <v>#DIV/0!</v>
      </c>
      <c r="J48" s="2599"/>
      <c r="K48" s="1598"/>
      <c r="L48" s="2130"/>
      <c r="M48" s="2131"/>
      <c r="N48" s="2120"/>
      <c r="O48" s="2131"/>
      <c r="P48" s="3359" t="str">
        <f>A48</f>
        <v>比较价格（元/平方米）</v>
      </c>
      <c r="Q48" s="3359"/>
      <c r="R48" s="3453" t="e">
        <f>IF(F1="售价",ROUND(PRODUCT(R47,AA7:AA46),0),ROUND(PRODUCT(R47,AA7:AA46),1))</f>
        <v>#DIV/0!</v>
      </c>
      <c r="S48" s="3453"/>
      <c r="T48" s="3453" t="e">
        <f>IF(F1="售价",ROUND(PRODUCT(T47,AB7:AB46),0),ROUND(PRODUCT(T47,AB7:AB46),1))</f>
        <v>#DIV/0!</v>
      </c>
      <c r="U48" s="3453"/>
      <c r="V48" s="3453" t="e">
        <f>IF(F1="售价",ROUND(PRODUCT(V47,AC7:AC46),0),ROUND(PRODUCT(V47,AC7:AC46),1))</f>
        <v>#DIV/0!</v>
      </c>
      <c r="W48" s="3453"/>
      <c r="X48" s="1546"/>
      <c r="Y48" s="1546"/>
      <c r="Z48" s="1546"/>
      <c r="AA48" s="1546"/>
      <c r="AB48" s="1546"/>
      <c r="AC48" s="1546"/>
    </row>
    <row r="49" spans="1:29" ht="15.75" thickBot="1">
      <c r="A49" s="621" t="s">
        <v>2931</v>
      </c>
      <c r="B49" s="622"/>
      <c r="C49" s="2601" t="e">
        <f>R49</f>
        <v>#DIV/0!</v>
      </c>
      <c r="D49" s="2601"/>
      <c r="E49" s="2601"/>
      <c r="F49" s="2601"/>
      <c r="G49" s="2601"/>
      <c r="H49" s="2601"/>
      <c r="I49" s="2601"/>
      <c r="J49" s="2601"/>
      <c r="K49" s="1599"/>
      <c r="L49" s="2130"/>
      <c r="M49" s="2131"/>
      <c r="N49" s="2120"/>
      <c r="O49" s="2131"/>
      <c r="P49" s="3356" t="str">
        <f>A49</f>
        <v>估价对象XX用房的比较价格（楼面单价，元/平方米）</v>
      </c>
      <c r="Q49" s="3357"/>
      <c r="R49" s="3452" t="e">
        <f>IF(F1="售价",ROUND(AVERAGE(R48:V48),0),ROUND(AVERAGE(R48:V48),1))</f>
        <v>#DIV/0!</v>
      </c>
      <c r="S49" s="3452"/>
      <c r="T49" s="3452"/>
      <c r="U49" s="3452"/>
      <c r="V49" s="3452"/>
      <c r="W49" s="3452"/>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2020-4</v>
      </c>
      <c r="D58" s="2760">
        <f>EDATE(C58,-1)</f>
        <v>43891</v>
      </c>
      <c r="E58" s="2760">
        <f t="shared" ref="E58:O58" si="16">EDATE(D58,-1)</f>
        <v>43862</v>
      </c>
      <c r="F58" s="2760">
        <f t="shared" si="16"/>
        <v>43831</v>
      </c>
      <c r="G58" s="2760">
        <f t="shared" si="16"/>
        <v>43800</v>
      </c>
      <c r="H58" s="2760">
        <f t="shared" si="16"/>
        <v>43770</v>
      </c>
      <c r="I58" s="2760">
        <f t="shared" si="16"/>
        <v>43739</v>
      </c>
      <c r="J58" s="2760">
        <f t="shared" si="16"/>
        <v>43709</v>
      </c>
      <c r="K58" s="2760">
        <f t="shared" si="16"/>
        <v>43678</v>
      </c>
      <c r="L58" s="2760">
        <f t="shared" si="16"/>
        <v>43647</v>
      </c>
      <c r="M58" s="2760">
        <f t="shared" si="16"/>
        <v>43617</v>
      </c>
      <c r="N58" s="2760">
        <f t="shared" si="16"/>
        <v>43586</v>
      </c>
      <c r="O58" s="2760">
        <f t="shared" si="16"/>
        <v>43556</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2553</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2554</v>
      </c>
      <c r="C82" s="2563" t="s">
        <v>2555</v>
      </c>
      <c r="D82" s="2563" t="s">
        <v>2556</v>
      </c>
      <c r="E82" s="2563" t="s">
        <v>2557</v>
      </c>
      <c r="F82" s="2563" t="s">
        <v>2558</v>
      </c>
      <c r="G82" s="2563" t="s">
        <v>2559</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2552</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2207"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65" t="s">
        <v>522</v>
      </c>
      <c r="D4" s="3366"/>
      <c r="E4" s="3399" t="s">
        <v>523</v>
      </c>
      <c r="F4" s="3400"/>
      <c r="G4" s="3365" t="s">
        <v>524</v>
      </c>
      <c r="H4" s="3366"/>
      <c r="I4" s="3365" t="s">
        <v>525</v>
      </c>
      <c r="J4" s="3366"/>
      <c r="K4" s="514" t="s">
        <v>526</v>
      </c>
      <c r="L4" s="2119"/>
      <c r="M4" s="2120"/>
      <c r="N4" s="2120"/>
      <c r="O4" s="2120"/>
      <c r="P4" s="3481" t="s">
        <v>527</v>
      </c>
      <c r="Q4" s="3368"/>
      <c r="R4" s="3373" t="s">
        <v>523</v>
      </c>
      <c r="S4" s="3374"/>
      <c r="T4" s="3373" t="s">
        <v>524</v>
      </c>
      <c r="U4" s="3374"/>
      <c r="V4" s="3360" t="s">
        <v>525</v>
      </c>
      <c r="W4" s="3360"/>
      <c r="X4" s="1554"/>
      <c r="Y4" s="3373" t="s">
        <v>527</v>
      </c>
      <c r="Z4" s="3374"/>
      <c r="AA4" s="3362" t="s">
        <v>523</v>
      </c>
      <c r="AB4" s="3362" t="s">
        <v>524</v>
      </c>
      <c r="AC4" s="3362" t="s">
        <v>525</v>
      </c>
    </row>
    <row r="5" spans="1:29" ht="15">
      <c r="A5" s="515"/>
      <c r="B5" s="516"/>
      <c r="C5" s="3381" t="s">
        <v>2925</v>
      </c>
      <c r="D5" s="3382"/>
      <c r="E5" s="3401" t="s">
        <v>2926</v>
      </c>
      <c r="F5" s="3402"/>
      <c r="G5" s="3381" t="s">
        <v>2927</v>
      </c>
      <c r="H5" s="3382"/>
      <c r="I5" s="3381" t="s">
        <v>2928</v>
      </c>
      <c r="J5" s="3382"/>
      <c r="K5" s="514"/>
      <c r="L5" s="2119"/>
      <c r="M5" s="2120"/>
      <c r="N5" s="2120"/>
      <c r="O5" s="2120"/>
      <c r="P5" s="3482"/>
      <c r="Q5" s="3370"/>
      <c r="R5" s="3375"/>
      <c r="S5" s="3376"/>
      <c r="T5" s="3375"/>
      <c r="U5" s="3376"/>
      <c r="V5" s="3360"/>
      <c r="W5" s="3360"/>
      <c r="X5" s="1554"/>
      <c r="Y5" s="3375"/>
      <c r="Z5" s="3376"/>
      <c r="AA5" s="3363"/>
      <c r="AB5" s="3363"/>
      <c r="AC5" s="3363"/>
    </row>
    <row r="6" spans="1:29" ht="15.75" thickBot="1">
      <c r="A6" s="517"/>
      <c r="B6" s="518"/>
      <c r="C6" s="3379" t="s">
        <v>2929</v>
      </c>
      <c r="D6" s="3380"/>
      <c r="E6" s="3397" t="s">
        <v>2929</v>
      </c>
      <c r="F6" s="3398"/>
      <c r="G6" s="3379" t="s">
        <v>2929</v>
      </c>
      <c r="H6" s="3380"/>
      <c r="I6" s="3379" t="s">
        <v>2929</v>
      </c>
      <c r="J6" s="3380"/>
      <c r="K6" s="514" t="s">
        <v>528</v>
      </c>
      <c r="L6" s="2119"/>
      <c r="M6" s="2120"/>
      <c r="N6" s="2120"/>
      <c r="O6" s="2120"/>
      <c r="P6" s="3483"/>
      <c r="Q6" s="3372"/>
      <c r="R6" s="3375"/>
      <c r="S6" s="3376"/>
      <c r="T6" s="3377"/>
      <c r="U6" s="3378"/>
      <c r="V6" s="3360"/>
      <c r="W6" s="3360"/>
      <c r="X6" s="1554"/>
      <c r="Y6" s="3377"/>
      <c r="Z6" s="3378"/>
      <c r="AA6" s="3364"/>
      <c r="AB6" s="3364"/>
      <c r="AC6" s="3364"/>
    </row>
    <row r="7" spans="1:29" s="1216" customFormat="1" ht="15.75" thickBot="1">
      <c r="A7" s="2868"/>
      <c r="B7" s="2875" t="s">
        <v>529</v>
      </c>
      <c r="C7" s="519">
        <f>'数据-取费表'!B2</f>
        <v>43927</v>
      </c>
      <c r="D7" s="520">
        <v>100</v>
      </c>
      <c r="E7" s="521"/>
      <c r="F7" s="522">
        <f>SUMIF(59:59,YEAR(E7)&amp;"-"&amp;MONTH(E7),60:60)</f>
        <v>0</v>
      </c>
      <c r="G7" s="521"/>
      <c r="H7" s="520">
        <f>SUMIF(59:59,YEAR(G7)&amp;"-"&amp;MONTH(G7),60:60)</f>
        <v>0</v>
      </c>
      <c r="I7" s="521"/>
      <c r="J7" s="520">
        <f>SUMIF(59:59,YEAR(I7)&amp;"-"&amp;MONTH(I7),60:60)</f>
        <v>0</v>
      </c>
      <c r="K7" s="524"/>
      <c r="L7" s="2121"/>
      <c r="M7" s="2122"/>
      <c r="N7" s="2122"/>
      <c r="O7" s="2122"/>
      <c r="P7" s="3392" t="s">
        <v>530</v>
      </c>
      <c r="Q7" s="3392"/>
      <c r="R7" s="1555" t="s">
        <v>8</v>
      </c>
      <c r="S7" s="1556">
        <f t="shared" ref="S7:S15" si="0">F7</f>
        <v>0</v>
      </c>
      <c r="T7" s="1555" t="s">
        <v>8</v>
      </c>
      <c r="U7" s="1556">
        <f t="shared" ref="U7:U15" si="1">H7</f>
        <v>0</v>
      </c>
      <c r="V7" s="1555" t="s">
        <v>8</v>
      </c>
      <c r="W7" s="1556">
        <f t="shared" ref="W7:W15" si="2">J7</f>
        <v>0</v>
      </c>
      <c r="X7" s="1557"/>
      <c r="Y7" s="3390" t="s">
        <v>530</v>
      </c>
      <c r="Z7" s="3391"/>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392" t="s">
        <v>533</v>
      </c>
      <c r="Q8" s="3391"/>
      <c r="R8" s="1555" t="s">
        <v>8</v>
      </c>
      <c r="S8" s="1556">
        <f t="shared" si="0"/>
        <v>0</v>
      </c>
      <c r="T8" s="1555" t="s">
        <v>8</v>
      </c>
      <c r="U8" s="1556">
        <f t="shared" si="1"/>
        <v>0</v>
      </c>
      <c r="V8" s="1555" t="s">
        <v>8</v>
      </c>
      <c r="W8" s="1556">
        <f t="shared" si="2"/>
        <v>0</v>
      </c>
      <c r="X8" s="1557"/>
      <c r="Y8" s="3390" t="s">
        <v>533</v>
      </c>
      <c r="Z8" s="3391"/>
      <c r="AA8" s="1558" t="e">
        <f t="shared" ref="AA8:AA47" si="3">D8/F8</f>
        <v>#DIV/0!</v>
      </c>
      <c r="AB8" s="1558" t="e">
        <f t="shared" ref="AB8:AB47" si="4">D8/H8</f>
        <v>#DIV/0!</v>
      </c>
      <c r="AC8" s="1558" t="e">
        <f t="shared" ref="AC8:AC47" si="5">D8/J8</f>
        <v>#DIV/0!</v>
      </c>
    </row>
    <row r="9" spans="1:29" s="1216" customFormat="1" ht="15">
      <c r="A9" s="2870"/>
      <c r="B9" s="2877" t="s">
        <v>2751</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59" t="s">
        <v>535</v>
      </c>
      <c r="Q9" s="1147" t="str">
        <f t="shared" ref="Q9:Q15" si="6">B9</f>
        <v>用途</v>
      </c>
      <c r="R9" s="1555" t="s">
        <v>8</v>
      </c>
      <c r="S9" s="1556">
        <f t="shared" si="0"/>
        <v>100</v>
      </c>
      <c r="T9" s="1555" t="s">
        <v>8</v>
      </c>
      <c r="U9" s="1556">
        <f t="shared" si="1"/>
        <v>100</v>
      </c>
      <c r="V9" s="1555" t="s">
        <v>8</v>
      </c>
      <c r="W9" s="1556">
        <f t="shared" si="2"/>
        <v>100</v>
      </c>
      <c r="X9" s="1557"/>
      <c r="Y9" s="3305" t="s">
        <v>536</v>
      </c>
      <c r="Z9" s="1146" t="str">
        <f t="shared" ref="Z9:Z15" si="7">Q9</f>
        <v>用途</v>
      </c>
      <c r="AA9" s="1558">
        <f t="shared" si="3"/>
        <v>1</v>
      </c>
      <c r="AB9" s="1558">
        <f t="shared" si="4"/>
        <v>1</v>
      </c>
      <c r="AC9" s="1558">
        <f t="shared" si="5"/>
        <v>1</v>
      </c>
    </row>
    <row r="10" spans="1:29" s="1334" customFormat="1" ht="27">
      <c r="A10" s="2871"/>
      <c r="B10" s="2876" t="s">
        <v>2752</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
      <c r="A11" s="2872"/>
      <c r="B11" s="2876" t="s">
        <v>2753</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59"/>
      <c r="Q11" s="1147" t="str">
        <f t="shared" si="6"/>
        <v>容积率</v>
      </c>
      <c r="R11" s="1555" t="s">
        <v>8</v>
      </c>
      <c r="S11" s="1556" t="e">
        <f t="shared" si="0"/>
        <v>#N/A</v>
      </c>
      <c r="T11" s="1555" t="s">
        <v>8</v>
      </c>
      <c r="U11" s="1556" t="e">
        <f t="shared" si="1"/>
        <v>#N/A</v>
      </c>
      <c r="V11" s="1555" t="s">
        <v>8</v>
      </c>
      <c r="W11" s="1556" t="e">
        <f t="shared" si="2"/>
        <v>#N/A</v>
      </c>
      <c r="X11" s="1557"/>
      <c r="Y11" s="330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59"/>
      <c r="Q12" s="1147">
        <f t="shared" si="6"/>
        <v>111</v>
      </c>
      <c r="R12" s="1555" t="s">
        <v>8</v>
      </c>
      <c r="S12" s="1556">
        <f t="shared" si="0"/>
        <v>100</v>
      </c>
      <c r="T12" s="1555" t="s">
        <v>8</v>
      </c>
      <c r="U12" s="1556">
        <f t="shared" si="1"/>
        <v>100</v>
      </c>
      <c r="V12" s="1555" t="s">
        <v>8</v>
      </c>
      <c r="W12" s="1556">
        <f t="shared" si="2"/>
        <v>100</v>
      </c>
      <c r="X12" s="1557"/>
      <c r="Y12" s="3305"/>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59"/>
      <c r="Q13" s="1147">
        <f t="shared" si="6"/>
        <v>111</v>
      </c>
      <c r="R13" s="1555" t="s">
        <v>8</v>
      </c>
      <c r="S13" s="1556">
        <f t="shared" si="0"/>
        <v>100</v>
      </c>
      <c r="T13" s="1555" t="s">
        <v>8</v>
      </c>
      <c r="U13" s="1556">
        <f t="shared" si="1"/>
        <v>100</v>
      </c>
      <c r="V13" s="1555" t="s">
        <v>8</v>
      </c>
      <c r="W13" s="1556">
        <f t="shared" si="2"/>
        <v>100</v>
      </c>
      <c r="X13" s="1557"/>
      <c r="Y13" s="3305"/>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59"/>
      <c r="Q14" s="1147">
        <f t="shared" si="6"/>
        <v>111</v>
      </c>
      <c r="R14" s="1555" t="s">
        <v>8</v>
      </c>
      <c r="S14" s="1556">
        <f t="shared" si="0"/>
        <v>100</v>
      </c>
      <c r="T14" s="1555" t="s">
        <v>8</v>
      </c>
      <c r="U14" s="1556">
        <f t="shared" si="1"/>
        <v>100</v>
      </c>
      <c r="V14" s="1555" t="s">
        <v>8</v>
      </c>
      <c r="W14" s="1556">
        <f t="shared" si="2"/>
        <v>100</v>
      </c>
      <c r="X14" s="1557"/>
      <c r="Y14" s="3305"/>
      <c r="Z14" s="1146">
        <f t="shared" si="7"/>
        <v>111</v>
      </c>
      <c r="AA14" s="1558">
        <f t="shared" si="3"/>
        <v>1</v>
      </c>
      <c r="AB14" s="1558">
        <f t="shared" si="4"/>
        <v>1</v>
      </c>
      <c r="AC14" s="1558">
        <f t="shared" si="5"/>
        <v>1</v>
      </c>
    </row>
    <row r="15" spans="1:29" ht="71.25">
      <c r="A15" s="2866" t="s">
        <v>2749</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393" t="s">
        <v>540</v>
      </c>
      <c r="Q15" s="1559" t="str">
        <f t="shared" si="6"/>
        <v>办公集聚程度</v>
      </c>
      <c r="R15" s="1560" t="s">
        <v>8</v>
      </c>
      <c r="S15" s="1561">
        <f t="shared" si="0"/>
        <v>100</v>
      </c>
      <c r="T15" s="1560" t="s">
        <v>8</v>
      </c>
      <c r="U15" s="1561">
        <f t="shared" si="1"/>
        <v>100</v>
      </c>
      <c r="V15" s="1560" t="s">
        <v>8</v>
      </c>
      <c r="W15" s="1561">
        <f t="shared" si="2"/>
        <v>100</v>
      </c>
      <c r="X15" s="1554"/>
      <c r="Y15" s="3393"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394"/>
      <c r="Q16" s="1559"/>
      <c r="R16" s="1560"/>
      <c r="S16" s="1561"/>
      <c r="T16" s="1560"/>
      <c r="U16" s="1561"/>
      <c r="V16" s="1560"/>
      <c r="W16" s="1561"/>
      <c r="X16" s="1554"/>
      <c r="Y16" s="3394"/>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394"/>
      <c r="Q17" s="1559" t="str">
        <f>B17</f>
        <v>交通便捷度</v>
      </c>
      <c r="R17" s="1560" t="s">
        <v>8</v>
      </c>
      <c r="S17" s="1561">
        <f>F17</f>
        <v>100</v>
      </c>
      <c r="T17" s="1560" t="s">
        <v>8</v>
      </c>
      <c r="U17" s="1561">
        <f>H17</f>
        <v>100</v>
      </c>
      <c r="V17" s="1560" t="s">
        <v>8</v>
      </c>
      <c r="W17" s="1561">
        <f>J17</f>
        <v>100</v>
      </c>
      <c r="X17" s="1554"/>
      <c r="Y17" s="3394"/>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394"/>
      <c r="Q18" s="1559"/>
      <c r="R18" s="1560"/>
      <c r="S18" s="1561"/>
      <c r="T18" s="1560"/>
      <c r="U18" s="1561"/>
      <c r="V18" s="1560"/>
      <c r="W18" s="1561"/>
      <c r="X18" s="1554"/>
      <c r="Y18" s="3394"/>
      <c r="Z18" s="1562"/>
      <c r="AA18" s="1563">
        <v>1</v>
      </c>
      <c r="AB18" s="1563">
        <v>1</v>
      </c>
      <c r="AC18" s="1563">
        <v>1</v>
      </c>
    </row>
    <row r="19" spans="1:29" ht="42.75">
      <c r="A19" s="532"/>
      <c r="B19" s="2568" t="s">
        <v>2542</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394"/>
      <c r="Q19" s="1559" t="str">
        <f>B19</f>
        <v>公共配套设施</v>
      </c>
      <c r="R19" s="1560" t="s">
        <v>8</v>
      </c>
      <c r="S19" s="1561">
        <f>F19</f>
        <v>100</v>
      </c>
      <c r="T19" s="1560" t="s">
        <v>8</v>
      </c>
      <c r="U19" s="1561">
        <f>H19</f>
        <v>100</v>
      </c>
      <c r="V19" s="1560" t="s">
        <v>8</v>
      </c>
      <c r="W19" s="1561">
        <f>J19</f>
        <v>100</v>
      </c>
      <c r="X19" s="1554"/>
      <c r="Y19" s="3394"/>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394"/>
      <c r="Q20" s="1559"/>
      <c r="R20" s="1560"/>
      <c r="S20" s="1561"/>
      <c r="T20" s="1560"/>
      <c r="U20" s="1561"/>
      <c r="V20" s="1560"/>
      <c r="W20" s="1561"/>
      <c r="X20" s="1554"/>
      <c r="Y20" s="3394"/>
      <c r="Z20" s="1562"/>
      <c r="AA20" s="1563">
        <v>1</v>
      </c>
      <c r="AB20" s="1563">
        <v>1</v>
      </c>
      <c r="AC20" s="1563">
        <v>1</v>
      </c>
    </row>
    <row r="21" spans="1:29" ht="28.5">
      <c r="A21" s="532"/>
      <c r="B21" s="2556" t="s">
        <v>2554</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394"/>
      <c r="Q21" s="2544" t="str">
        <f>B21</f>
        <v>基础设施水平</v>
      </c>
      <c r="R21" s="1560" t="s">
        <v>8</v>
      </c>
      <c r="S21" s="1561">
        <f>F21</f>
        <v>100</v>
      </c>
      <c r="T21" s="1560" t="s">
        <v>8</v>
      </c>
      <c r="U21" s="1561">
        <f>H21</f>
        <v>100</v>
      </c>
      <c r="V21" s="1560" t="s">
        <v>8</v>
      </c>
      <c r="W21" s="1561">
        <f>J21</f>
        <v>100</v>
      </c>
      <c r="X21" s="2546"/>
      <c r="Y21" s="3394"/>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394"/>
      <c r="Q22" s="2544"/>
      <c r="R22" s="1560"/>
      <c r="S22" s="1561"/>
      <c r="T22" s="1560"/>
      <c r="U22" s="1561"/>
      <c r="V22" s="1560"/>
      <c r="W22" s="1561"/>
      <c r="X22" s="2546"/>
      <c r="Y22" s="3394"/>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394"/>
      <c r="Q23" s="1559" t="str">
        <f>B23</f>
        <v>环境质量</v>
      </c>
      <c r="R23" s="1560" t="s">
        <v>8</v>
      </c>
      <c r="S23" s="1561">
        <f>F23</f>
        <v>100</v>
      </c>
      <c r="T23" s="1560" t="s">
        <v>8</v>
      </c>
      <c r="U23" s="1561">
        <f>H23</f>
        <v>100</v>
      </c>
      <c r="V23" s="1560" t="s">
        <v>8</v>
      </c>
      <c r="W23" s="1561">
        <f>J23</f>
        <v>100</v>
      </c>
      <c r="X23" s="1554"/>
      <c r="Y23" s="3394"/>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394"/>
      <c r="Q24" s="1559"/>
      <c r="R24" s="1560"/>
      <c r="S24" s="1561"/>
      <c r="T24" s="1560"/>
      <c r="U24" s="1561"/>
      <c r="V24" s="1560"/>
      <c r="W24" s="1561"/>
      <c r="X24" s="1554"/>
      <c r="Y24" s="3394"/>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394"/>
      <c r="Q25" s="1559" t="str">
        <f>B25</f>
        <v>毗邻道路的类型与等级</v>
      </c>
      <c r="R25" s="1560" t="s">
        <v>8</v>
      </c>
      <c r="S25" s="1561">
        <f>F25</f>
        <v>100</v>
      </c>
      <c r="T25" s="1560" t="s">
        <v>8</v>
      </c>
      <c r="U25" s="1561">
        <f>H25</f>
        <v>100</v>
      </c>
      <c r="V25" s="1560" t="s">
        <v>8</v>
      </c>
      <c r="W25" s="1561">
        <f>J25</f>
        <v>100</v>
      </c>
      <c r="X25" s="1554"/>
      <c r="Y25" s="3394"/>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394"/>
      <c r="Q26" s="1559"/>
      <c r="R26" s="1560"/>
      <c r="S26" s="1561"/>
      <c r="T26" s="1560"/>
      <c r="U26" s="1561"/>
      <c r="V26" s="1560"/>
      <c r="W26" s="1561"/>
      <c r="X26" s="1554"/>
      <c r="Y26" s="3394"/>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394"/>
      <c r="Q27" s="1559" t="str">
        <f t="shared" ref="Q27:Q47" si="11">B27</f>
        <v>楼层</v>
      </c>
      <c r="R27" s="1560" t="s">
        <v>8</v>
      </c>
      <c r="S27" s="1561">
        <f>F27</f>
        <v>100</v>
      </c>
      <c r="T27" s="1560" t="s">
        <v>8</v>
      </c>
      <c r="U27" s="1561">
        <f>H27</f>
        <v>100</v>
      </c>
      <c r="V27" s="1560" t="s">
        <v>8</v>
      </c>
      <c r="W27" s="1561">
        <f>J27</f>
        <v>100</v>
      </c>
      <c r="X27" s="1554"/>
      <c r="Y27" s="3394"/>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394"/>
      <c r="Q28" s="1147" t="str">
        <f t="shared" si="11"/>
        <v>朝向</v>
      </c>
      <c r="R28" s="1555" t="s">
        <v>8</v>
      </c>
      <c r="S28" s="1556">
        <f>F28</f>
        <v>100</v>
      </c>
      <c r="T28" s="1555" t="s">
        <v>8</v>
      </c>
      <c r="U28" s="1556">
        <f>H28</f>
        <v>100</v>
      </c>
      <c r="V28" s="1555" t="s">
        <v>8</v>
      </c>
      <c r="W28" s="1556">
        <f>J28</f>
        <v>100</v>
      </c>
      <c r="X28" s="1557"/>
      <c r="Y28" s="3394"/>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394"/>
      <c r="Q29" s="1559">
        <f t="shared" si="11"/>
        <v>111</v>
      </c>
      <c r="R29" s="1560" t="s">
        <v>8</v>
      </c>
      <c r="S29" s="1561">
        <f t="shared" ref="S29:S47" si="12">F29</f>
        <v>100</v>
      </c>
      <c r="T29" s="1560" t="s">
        <v>8</v>
      </c>
      <c r="U29" s="1561">
        <f t="shared" ref="U29:U47" si="13">H29</f>
        <v>100</v>
      </c>
      <c r="V29" s="1560" t="s">
        <v>8</v>
      </c>
      <c r="W29" s="1561">
        <f t="shared" ref="W29:W47" si="14">J29</f>
        <v>100</v>
      </c>
      <c r="X29" s="1554"/>
      <c r="Y29" s="3394"/>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394"/>
      <c r="Q30" s="1559">
        <f t="shared" si="11"/>
        <v>111</v>
      </c>
      <c r="R30" s="1560" t="s">
        <v>8</v>
      </c>
      <c r="S30" s="1561">
        <f t="shared" si="12"/>
        <v>100</v>
      </c>
      <c r="T30" s="1560" t="s">
        <v>8</v>
      </c>
      <c r="U30" s="1561">
        <f t="shared" si="13"/>
        <v>100</v>
      </c>
      <c r="V30" s="1560" t="s">
        <v>8</v>
      </c>
      <c r="W30" s="1561">
        <f t="shared" si="14"/>
        <v>100</v>
      </c>
      <c r="X30" s="1554"/>
      <c r="Y30" s="3394"/>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394"/>
      <c r="Q31" s="1559">
        <f t="shared" si="11"/>
        <v>111</v>
      </c>
      <c r="R31" s="1560" t="s">
        <v>8</v>
      </c>
      <c r="S31" s="1561">
        <f t="shared" si="12"/>
        <v>100</v>
      </c>
      <c r="T31" s="1560" t="s">
        <v>8</v>
      </c>
      <c r="U31" s="1561">
        <f t="shared" si="13"/>
        <v>100</v>
      </c>
      <c r="V31" s="1560" t="s">
        <v>8</v>
      </c>
      <c r="W31" s="1561">
        <f t="shared" si="14"/>
        <v>100</v>
      </c>
      <c r="X31" s="1554"/>
      <c r="Y31" s="3394"/>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394"/>
      <c r="Q32" s="1559">
        <f t="shared" si="11"/>
        <v>111</v>
      </c>
      <c r="R32" s="1560" t="s">
        <v>8</v>
      </c>
      <c r="S32" s="1561">
        <f t="shared" si="12"/>
        <v>100</v>
      </c>
      <c r="T32" s="1560" t="s">
        <v>8</v>
      </c>
      <c r="U32" s="1561">
        <f t="shared" si="13"/>
        <v>100</v>
      </c>
      <c r="V32" s="1560" t="s">
        <v>8</v>
      </c>
      <c r="W32" s="1561">
        <f t="shared" si="14"/>
        <v>100</v>
      </c>
      <c r="X32" s="1554"/>
      <c r="Y32" s="3394"/>
      <c r="Z32" s="1562">
        <f t="shared" si="15"/>
        <v>111</v>
      </c>
      <c r="AA32" s="1563">
        <f t="shared" si="3"/>
        <v>1</v>
      </c>
      <c r="AB32" s="1563">
        <f t="shared" si="4"/>
        <v>1</v>
      </c>
      <c r="AC32" s="1563">
        <f t="shared" si="5"/>
        <v>1</v>
      </c>
    </row>
    <row r="33" spans="1:29" ht="15">
      <c r="A33" s="2863" t="s">
        <v>2750</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395" t="s">
        <v>550</v>
      </c>
      <c r="Q33" s="1559" t="str">
        <f t="shared" si="11"/>
        <v>建筑类型</v>
      </c>
      <c r="R33" s="1560" t="s">
        <v>8</v>
      </c>
      <c r="S33" s="1561">
        <f t="shared" si="12"/>
        <v>100</v>
      </c>
      <c r="T33" s="1560" t="s">
        <v>8</v>
      </c>
      <c r="U33" s="1561">
        <f t="shared" si="13"/>
        <v>100</v>
      </c>
      <c r="V33" s="1560" t="s">
        <v>8</v>
      </c>
      <c r="W33" s="1561">
        <f t="shared" si="14"/>
        <v>100</v>
      </c>
      <c r="X33" s="1554"/>
      <c r="Y33" s="3396"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396"/>
      <c r="Q34" s="1591" t="str">
        <f t="shared" si="11"/>
        <v>项目建筑规模</v>
      </c>
      <c r="R34" s="1564" t="s">
        <v>8</v>
      </c>
      <c r="S34" s="1565" t="e">
        <f t="shared" si="12"/>
        <v>#N/A</v>
      </c>
      <c r="T34" s="1564" t="s">
        <v>8</v>
      </c>
      <c r="U34" s="1565" t="e">
        <f t="shared" si="13"/>
        <v>#N/A</v>
      </c>
      <c r="V34" s="1564" t="s">
        <v>8</v>
      </c>
      <c r="W34" s="1565" t="e">
        <f t="shared" si="14"/>
        <v>#N/A</v>
      </c>
      <c r="X34" s="1566"/>
      <c r="Y34" s="3396"/>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396"/>
      <c r="Q35" s="1559" t="str">
        <f t="shared" si="11"/>
        <v>建筑结构</v>
      </c>
      <c r="R35" s="1560" t="s">
        <v>8</v>
      </c>
      <c r="S35" s="1561">
        <f t="shared" si="12"/>
        <v>100</v>
      </c>
      <c r="T35" s="1560" t="s">
        <v>8</v>
      </c>
      <c r="U35" s="1561">
        <f t="shared" si="13"/>
        <v>100</v>
      </c>
      <c r="V35" s="1560" t="s">
        <v>8</v>
      </c>
      <c r="W35" s="1561">
        <f t="shared" si="14"/>
        <v>100</v>
      </c>
      <c r="X35" s="1554"/>
      <c r="Y35" s="3396"/>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396"/>
      <c r="Q36" s="1559" t="str">
        <f t="shared" si="11"/>
        <v>公共部分装修</v>
      </c>
      <c r="R36" s="1560" t="s">
        <v>8</v>
      </c>
      <c r="S36" s="1561">
        <f t="shared" si="12"/>
        <v>100</v>
      </c>
      <c r="T36" s="1560" t="s">
        <v>8</v>
      </c>
      <c r="U36" s="1561">
        <f t="shared" si="13"/>
        <v>100</v>
      </c>
      <c r="V36" s="1560" t="s">
        <v>8</v>
      </c>
      <c r="W36" s="1561">
        <f t="shared" si="14"/>
        <v>100</v>
      </c>
      <c r="X36" s="1554"/>
      <c r="Y36" s="3396"/>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396"/>
      <c r="Q37" s="1559" t="str">
        <f t="shared" si="11"/>
        <v>成新度</v>
      </c>
      <c r="R37" s="1560" t="s">
        <v>8</v>
      </c>
      <c r="S37" s="1561" t="e">
        <f t="shared" si="12"/>
        <v>#N/A</v>
      </c>
      <c r="T37" s="1560" t="s">
        <v>8</v>
      </c>
      <c r="U37" s="1561" t="e">
        <f t="shared" si="13"/>
        <v>#N/A</v>
      </c>
      <c r="V37" s="1560" t="s">
        <v>8</v>
      </c>
      <c r="W37" s="1561" t="e">
        <f t="shared" si="14"/>
        <v>#N/A</v>
      </c>
      <c r="X37" s="1554"/>
      <c r="Y37" s="3396"/>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396"/>
      <c r="Q38" s="1147" t="str">
        <f t="shared" si="11"/>
        <v>写字楼等级</v>
      </c>
      <c r="R38" s="1555" t="s">
        <v>8</v>
      </c>
      <c r="S38" s="1556">
        <f t="shared" si="12"/>
        <v>100</v>
      </c>
      <c r="T38" s="1555" t="s">
        <v>8</v>
      </c>
      <c r="U38" s="1556">
        <f t="shared" si="13"/>
        <v>100</v>
      </c>
      <c r="V38" s="1555" t="s">
        <v>8</v>
      </c>
      <c r="W38" s="1556">
        <f t="shared" si="14"/>
        <v>100</v>
      </c>
      <c r="X38" s="1557"/>
      <c r="Y38" s="3396"/>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396" t="s">
        <v>550</v>
      </c>
      <c r="Q39" s="1559" t="str">
        <f t="shared" si="11"/>
        <v>物业管理</v>
      </c>
      <c r="R39" s="1560" t="s">
        <v>8</v>
      </c>
      <c r="S39" s="1561">
        <f t="shared" si="12"/>
        <v>100</v>
      </c>
      <c r="T39" s="1560" t="s">
        <v>8</v>
      </c>
      <c r="U39" s="1561">
        <f t="shared" si="13"/>
        <v>100</v>
      </c>
      <c r="V39" s="1560" t="s">
        <v>8</v>
      </c>
      <c r="W39" s="1561">
        <f t="shared" si="14"/>
        <v>100</v>
      </c>
      <c r="X39" s="1554"/>
      <c r="Y39" s="3396" t="s">
        <v>550</v>
      </c>
      <c r="Z39" s="1562" t="str">
        <f t="shared" si="15"/>
        <v>物业管理</v>
      </c>
      <c r="AA39" s="1563">
        <f t="shared" si="3"/>
        <v>1</v>
      </c>
      <c r="AB39" s="1563">
        <f t="shared" si="4"/>
        <v>1</v>
      </c>
      <c r="AC39" s="1563">
        <f t="shared" si="5"/>
        <v>1</v>
      </c>
    </row>
    <row r="40" spans="1:29" ht="15">
      <c r="A40" s="594"/>
      <c r="B40" s="1881" t="s">
        <v>2561</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396"/>
      <c r="Q40" s="1559" t="str">
        <f t="shared" si="11"/>
        <v>市政基础设施</v>
      </c>
      <c r="R40" s="1560" t="s">
        <v>8</v>
      </c>
      <c r="S40" s="1561">
        <f t="shared" si="12"/>
        <v>100</v>
      </c>
      <c r="T40" s="1560" t="s">
        <v>8</v>
      </c>
      <c r="U40" s="1561">
        <f t="shared" si="13"/>
        <v>100</v>
      </c>
      <c r="V40" s="1560" t="s">
        <v>8</v>
      </c>
      <c r="W40" s="1561">
        <f t="shared" si="14"/>
        <v>100</v>
      </c>
      <c r="X40" s="1554"/>
      <c r="Y40" s="3396"/>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396"/>
      <c r="Q41" s="1559" t="str">
        <f t="shared" si="11"/>
        <v>层高</v>
      </c>
      <c r="R41" s="1560" t="s">
        <v>8</v>
      </c>
      <c r="S41" s="1561">
        <f t="shared" si="12"/>
        <v>100</v>
      </c>
      <c r="T41" s="1560" t="s">
        <v>8</v>
      </c>
      <c r="U41" s="1561">
        <f t="shared" si="13"/>
        <v>100</v>
      </c>
      <c r="V41" s="1560" t="s">
        <v>8</v>
      </c>
      <c r="W41" s="1561">
        <f t="shared" si="14"/>
        <v>100</v>
      </c>
      <c r="X41" s="1554"/>
      <c r="Y41" s="3396"/>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396"/>
      <c r="Q42" s="1591" t="str">
        <f t="shared" si="11"/>
        <v>单套建筑面积</v>
      </c>
      <c r="R42" s="1564" t="s">
        <v>8</v>
      </c>
      <c r="S42" s="1565">
        <f t="shared" si="12"/>
        <v>100</v>
      </c>
      <c r="T42" s="1564" t="s">
        <v>8</v>
      </c>
      <c r="U42" s="1565">
        <f t="shared" si="13"/>
        <v>100</v>
      </c>
      <c r="V42" s="1564" t="s">
        <v>8</v>
      </c>
      <c r="W42" s="1565">
        <f t="shared" si="14"/>
        <v>100</v>
      </c>
      <c r="X42" s="1566"/>
      <c r="Y42" s="3396"/>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396"/>
      <c r="Q43" s="1559" t="str">
        <f t="shared" si="11"/>
        <v>内部装修</v>
      </c>
      <c r="R43" s="1560" t="s">
        <v>8</v>
      </c>
      <c r="S43" s="1561">
        <f t="shared" si="12"/>
        <v>100</v>
      </c>
      <c r="T43" s="1560" t="s">
        <v>8</v>
      </c>
      <c r="U43" s="1561">
        <f t="shared" si="13"/>
        <v>100</v>
      </c>
      <c r="V43" s="1560" t="s">
        <v>8</v>
      </c>
      <c r="W43" s="1561">
        <f t="shared" si="14"/>
        <v>100</v>
      </c>
      <c r="X43" s="1554"/>
      <c r="Y43" s="3396"/>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396"/>
      <c r="Q44" s="1559" t="str">
        <f t="shared" si="11"/>
        <v>内部装修维护情况</v>
      </c>
      <c r="R44" s="1560" t="s">
        <v>8</v>
      </c>
      <c r="S44" s="1561">
        <f t="shared" si="12"/>
        <v>100</v>
      </c>
      <c r="T44" s="1560" t="s">
        <v>8</v>
      </c>
      <c r="U44" s="1561">
        <f t="shared" si="13"/>
        <v>100</v>
      </c>
      <c r="V44" s="1560" t="s">
        <v>8</v>
      </c>
      <c r="W44" s="1561">
        <f t="shared" si="14"/>
        <v>100</v>
      </c>
      <c r="X44" s="1554"/>
      <c r="Y44" s="3396"/>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396"/>
      <c r="Q45" s="1147">
        <f t="shared" si="11"/>
        <v>111</v>
      </c>
      <c r="R45" s="1555" t="s">
        <v>8</v>
      </c>
      <c r="S45" s="1556">
        <f t="shared" si="12"/>
        <v>100</v>
      </c>
      <c r="T45" s="1555" t="s">
        <v>8</v>
      </c>
      <c r="U45" s="1556">
        <f t="shared" si="13"/>
        <v>100</v>
      </c>
      <c r="V45" s="1555" t="s">
        <v>8</v>
      </c>
      <c r="W45" s="1556">
        <f t="shared" si="14"/>
        <v>100</v>
      </c>
      <c r="X45" s="1557"/>
      <c r="Y45" s="3396"/>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396"/>
      <c r="Q46" s="1559">
        <f t="shared" si="11"/>
        <v>111</v>
      </c>
      <c r="R46" s="1560" t="s">
        <v>8</v>
      </c>
      <c r="S46" s="1561">
        <f t="shared" si="12"/>
        <v>100</v>
      </c>
      <c r="T46" s="1560" t="s">
        <v>8</v>
      </c>
      <c r="U46" s="1561">
        <f t="shared" si="13"/>
        <v>100</v>
      </c>
      <c r="V46" s="1560" t="s">
        <v>8</v>
      </c>
      <c r="W46" s="1561">
        <f t="shared" si="14"/>
        <v>100</v>
      </c>
      <c r="X46" s="1554"/>
      <c r="Y46" s="3396"/>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54"/>
      <c r="Q47" s="1559">
        <f t="shared" si="11"/>
        <v>111</v>
      </c>
      <c r="R47" s="1560" t="s">
        <v>8</v>
      </c>
      <c r="S47" s="1561">
        <f t="shared" si="12"/>
        <v>100</v>
      </c>
      <c r="T47" s="1560" t="s">
        <v>8</v>
      </c>
      <c r="U47" s="1561">
        <f t="shared" si="13"/>
        <v>100</v>
      </c>
      <c r="V47" s="1560" t="s">
        <v>8</v>
      </c>
      <c r="W47" s="1561">
        <f t="shared" si="14"/>
        <v>100</v>
      </c>
      <c r="X47" s="1554"/>
      <c r="Y47" s="3454"/>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357" t="str">
        <f>A48</f>
        <v>成交单价（元/平方米）</v>
      </c>
      <c r="Q48" s="3359"/>
      <c r="R48" s="3453">
        <f>E48</f>
        <v>0</v>
      </c>
      <c r="S48" s="3453"/>
      <c r="T48" s="3453">
        <f>G48</f>
        <v>0</v>
      </c>
      <c r="U48" s="3453"/>
      <c r="V48" s="3453">
        <f>I48</f>
        <v>0</v>
      </c>
      <c r="W48" s="3453"/>
      <c r="X48" s="1546"/>
      <c r="Y48" s="1568"/>
      <c r="Z48" s="1546"/>
      <c r="AA48" s="1546"/>
      <c r="AB48" s="1546"/>
      <c r="AC48" s="1546"/>
    </row>
    <row r="49" spans="1:29" ht="15.75" thickBot="1">
      <c r="A49" s="615" t="s">
        <v>2755</v>
      </c>
      <c r="B49" s="888"/>
      <c r="C49" s="2598" t="e">
        <f>R50</f>
        <v>#DIV/0!</v>
      </c>
      <c r="D49" s="2599"/>
      <c r="E49" s="2600" t="e">
        <f>R49</f>
        <v>#DIV/0!</v>
      </c>
      <c r="F49" s="2600"/>
      <c r="G49" s="2598" t="e">
        <f>T49</f>
        <v>#DIV/0!</v>
      </c>
      <c r="H49" s="2599"/>
      <c r="I49" s="2600" t="e">
        <f>V49</f>
        <v>#DIV/0!</v>
      </c>
      <c r="J49" s="2599"/>
      <c r="K49" s="1598"/>
      <c r="L49" s="2130"/>
      <c r="M49" s="2120"/>
      <c r="N49" s="2120"/>
      <c r="O49" s="2120"/>
      <c r="P49" s="3357" t="str">
        <f>A49</f>
        <v>比较价格（元/平方米）</v>
      </c>
      <c r="Q49" s="3359"/>
      <c r="R49" s="3453" t="e">
        <f>IF(F1="售价",ROUND(PRODUCT(R48,AA7:AA47),0),ROUND(PRODUCT(R48,AA7:AA47),1))</f>
        <v>#DIV/0!</v>
      </c>
      <c r="S49" s="3453"/>
      <c r="T49" s="3453" t="e">
        <f>IF(F1="售价",ROUND(PRODUCT(T48,AB7:AB47),0),ROUND(PRODUCT(T48,AB7:AB47),1))</f>
        <v>#DIV/0!</v>
      </c>
      <c r="U49" s="3453"/>
      <c r="V49" s="3453" t="e">
        <f>IF(F1="售价",ROUND(PRODUCT(V48,AC7:AC47),0),ROUND(PRODUCT(V48,AC7:AC47),1))</f>
        <v>#DIV/0!</v>
      </c>
      <c r="W49" s="3453"/>
      <c r="X49" s="1546"/>
      <c r="Y49" s="1546"/>
      <c r="Z49" s="1546"/>
      <c r="AA49" s="1546"/>
      <c r="AB49" s="1546"/>
      <c r="AC49" s="1546"/>
    </row>
    <row r="50" spans="1:29" ht="15.75" thickBot="1">
      <c r="A50" s="621" t="s">
        <v>2931</v>
      </c>
      <c r="B50" s="622"/>
      <c r="C50" s="2601" t="e">
        <f>R50</f>
        <v>#DIV/0!</v>
      </c>
      <c r="D50" s="2601"/>
      <c r="E50" s="2601"/>
      <c r="F50" s="2601"/>
      <c r="G50" s="2601"/>
      <c r="H50" s="2601"/>
      <c r="I50" s="2601"/>
      <c r="J50" s="2601"/>
      <c r="K50" s="1599"/>
      <c r="L50" s="2130"/>
      <c r="M50" s="2120"/>
      <c r="N50" s="2120"/>
      <c r="O50" s="2120"/>
      <c r="P50" s="3480" t="str">
        <f>A50</f>
        <v>估价对象XX用房的比较价格（楼面单价，元/平方米）</v>
      </c>
      <c r="Q50" s="3357"/>
      <c r="R50" s="3452" t="e">
        <f>IF(F1="售价",ROUND(AVERAGE(R49:V49),0),ROUND(AVERAGE(R49:V49),1))</f>
        <v>#DIV/0!</v>
      </c>
      <c r="S50" s="3452"/>
      <c r="T50" s="3452"/>
      <c r="U50" s="3452"/>
      <c r="V50" s="3452"/>
      <c r="W50" s="3452"/>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2020-4</v>
      </c>
      <c r="D59" s="2760">
        <f>EDATE(C59,-1)</f>
        <v>43891</v>
      </c>
      <c r="E59" s="2760">
        <f t="shared" ref="E59:O59" si="16">EDATE(D59,-1)</f>
        <v>43862</v>
      </c>
      <c r="F59" s="2760">
        <f t="shared" si="16"/>
        <v>43831</v>
      </c>
      <c r="G59" s="2760">
        <f t="shared" si="16"/>
        <v>43800</v>
      </c>
      <c r="H59" s="2760">
        <f t="shared" si="16"/>
        <v>43770</v>
      </c>
      <c r="I59" s="2760">
        <f t="shared" si="16"/>
        <v>43739</v>
      </c>
      <c r="J59" s="2760">
        <f t="shared" si="16"/>
        <v>43709</v>
      </c>
      <c r="K59" s="2760">
        <f t="shared" si="16"/>
        <v>43678</v>
      </c>
      <c r="L59" s="2760">
        <f t="shared" si="16"/>
        <v>43647</v>
      </c>
      <c r="M59" s="2760">
        <f t="shared" si="16"/>
        <v>43617</v>
      </c>
      <c r="N59" s="2760">
        <f t="shared" si="16"/>
        <v>43586</v>
      </c>
      <c r="O59" s="2760">
        <f t="shared" si="16"/>
        <v>43556</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2553</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2554</v>
      </c>
      <c r="C83" s="2563" t="s">
        <v>2555</v>
      </c>
      <c r="D83" s="2563" t="s">
        <v>2556</v>
      </c>
      <c r="E83" s="2563" t="s">
        <v>2557</v>
      </c>
      <c r="F83" s="2563" t="s">
        <v>2558</v>
      </c>
      <c r="G83" s="2563" t="s">
        <v>2559</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2552</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65" t="s">
        <v>522</v>
      </c>
      <c r="D4" s="3366"/>
      <c r="E4" s="3399" t="s">
        <v>523</v>
      </c>
      <c r="F4" s="3400"/>
      <c r="G4" s="3365" t="s">
        <v>524</v>
      </c>
      <c r="H4" s="3366"/>
      <c r="I4" s="3365" t="s">
        <v>525</v>
      </c>
      <c r="J4" s="3366"/>
      <c r="K4" s="514" t="s">
        <v>526</v>
      </c>
      <c r="L4" s="2119"/>
      <c r="M4" s="2120"/>
      <c r="N4" s="2120"/>
      <c r="O4" s="2120"/>
      <c r="P4" s="3367" t="s">
        <v>527</v>
      </c>
      <c r="Q4" s="3368"/>
      <c r="R4" s="3373" t="s">
        <v>523</v>
      </c>
      <c r="S4" s="3374"/>
      <c r="T4" s="3373" t="s">
        <v>524</v>
      </c>
      <c r="U4" s="3374"/>
      <c r="V4" s="3360" t="s">
        <v>525</v>
      </c>
      <c r="W4" s="3360"/>
      <c r="X4" s="1554"/>
      <c r="Y4" s="3373" t="s">
        <v>527</v>
      </c>
      <c r="Z4" s="3374"/>
      <c r="AA4" s="3362" t="s">
        <v>523</v>
      </c>
      <c r="AB4" s="3363" t="s">
        <v>524</v>
      </c>
      <c r="AC4" s="3362" t="s">
        <v>525</v>
      </c>
    </row>
    <row r="5" spans="1:29" ht="15">
      <c r="A5" s="515"/>
      <c r="B5" s="516"/>
      <c r="C5" s="3381" t="s">
        <v>2925</v>
      </c>
      <c r="D5" s="3382"/>
      <c r="E5" s="3401" t="s">
        <v>2926</v>
      </c>
      <c r="F5" s="3402"/>
      <c r="G5" s="3381" t="s">
        <v>2927</v>
      </c>
      <c r="H5" s="3382"/>
      <c r="I5" s="3381" t="s">
        <v>2928</v>
      </c>
      <c r="J5" s="3382"/>
      <c r="K5" s="514"/>
      <c r="L5" s="2119"/>
      <c r="M5" s="2120"/>
      <c r="N5" s="2120"/>
      <c r="O5" s="2120"/>
      <c r="P5" s="3369"/>
      <c r="Q5" s="3370"/>
      <c r="R5" s="3375"/>
      <c r="S5" s="3376"/>
      <c r="T5" s="3375"/>
      <c r="U5" s="3376"/>
      <c r="V5" s="3360"/>
      <c r="W5" s="3360"/>
      <c r="X5" s="1554"/>
      <c r="Y5" s="3375"/>
      <c r="Z5" s="3376"/>
      <c r="AA5" s="3363"/>
      <c r="AB5" s="3363"/>
      <c r="AC5" s="3363"/>
    </row>
    <row r="6" spans="1:29" ht="15.75" thickBot="1">
      <c r="A6" s="517"/>
      <c r="B6" s="518"/>
      <c r="C6" s="3379" t="s">
        <v>2929</v>
      </c>
      <c r="D6" s="3380"/>
      <c r="E6" s="3397" t="s">
        <v>2929</v>
      </c>
      <c r="F6" s="3398"/>
      <c r="G6" s="3379" t="s">
        <v>2929</v>
      </c>
      <c r="H6" s="3380"/>
      <c r="I6" s="3379" t="s">
        <v>2929</v>
      </c>
      <c r="J6" s="3380"/>
      <c r="K6" s="514" t="s">
        <v>528</v>
      </c>
      <c r="L6" s="2119"/>
      <c r="M6" s="2120"/>
      <c r="N6" s="2120"/>
      <c r="O6" s="2120"/>
      <c r="P6" s="3371"/>
      <c r="Q6" s="3372"/>
      <c r="R6" s="3375"/>
      <c r="S6" s="3376"/>
      <c r="T6" s="3377"/>
      <c r="U6" s="3378"/>
      <c r="V6" s="3360"/>
      <c r="W6" s="3360"/>
      <c r="X6" s="1554"/>
      <c r="Y6" s="3377"/>
      <c r="Z6" s="3378"/>
      <c r="AA6" s="3364"/>
      <c r="AB6" s="3364"/>
      <c r="AC6" s="3364"/>
    </row>
    <row r="7" spans="1:29" s="1216" customFormat="1" ht="15.75" thickBot="1">
      <c r="A7" s="2868"/>
      <c r="B7" s="2875" t="s">
        <v>529</v>
      </c>
      <c r="C7" s="519">
        <f>'数据-取费表'!B2</f>
        <v>43927</v>
      </c>
      <c r="D7" s="520">
        <v>100</v>
      </c>
      <c r="E7" s="521"/>
      <c r="F7" s="522">
        <f>SUMIF(52:52,YEAR(E7)&amp;"-"&amp;MONTH(E7),53:53)</f>
        <v>0</v>
      </c>
      <c r="G7" s="521"/>
      <c r="H7" s="520">
        <f>SUMIF(52:52,YEAR(G7)&amp;"-"&amp;MONTH(G7),53:53)</f>
        <v>0</v>
      </c>
      <c r="I7" s="521"/>
      <c r="J7" s="520">
        <f>SUMIF(52:52,YEAR(I7)&amp;"-"&amp;MONTH(I7),53:53)</f>
        <v>0</v>
      </c>
      <c r="K7" s="524"/>
      <c r="L7" s="2121"/>
      <c r="M7" s="2122"/>
      <c r="N7" s="2122"/>
      <c r="O7" s="2122"/>
      <c r="P7" s="3390" t="s">
        <v>530</v>
      </c>
      <c r="Q7" s="3392"/>
      <c r="R7" s="1555" t="s">
        <v>8</v>
      </c>
      <c r="S7" s="1556">
        <f t="shared" ref="S7:S15" si="0">F7</f>
        <v>0</v>
      </c>
      <c r="T7" s="1555" t="s">
        <v>8</v>
      </c>
      <c r="U7" s="1556">
        <f t="shared" ref="U7:U15" si="1">H7</f>
        <v>0</v>
      </c>
      <c r="V7" s="1555" t="s">
        <v>8</v>
      </c>
      <c r="W7" s="1556">
        <f t="shared" ref="W7:W15" si="2">J7</f>
        <v>0</v>
      </c>
      <c r="X7" s="1557"/>
      <c r="Y7" s="3390" t="s">
        <v>530</v>
      </c>
      <c r="Z7" s="3391"/>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390" t="s">
        <v>533</v>
      </c>
      <c r="Q8" s="3391"/>
      <c r="R8" s="1555" t="s">
        <v>8</v>
      </c>
      <c r="S8" s="1556">
        <f t="shared" si="0"/>
        <v>0</v>
      </c>
      <c r="T8" s="1555" t="s">
        <v>8</v>
      </c>
      <c r="U8" s="1556">
        <f t="shared" si="1"/>
        <v>0</v>
      </c>
      <c r="V8" s="1555" t="s">
        <v>8</v>
      </c>
      <c r="W8" s="1556">
        <f t="shared" si="2"/>
        <v>0</v>
      </c>
      <c r="X8" s="1557"/>
      <c r="Y8" s="3390" t="s">
        <v>533</v>
      </c>
      <c r="Z8" s="3391"/>
      <c r="AA8" s="1558" t="e">
        <f t="shared" ref="AA8:AA40" si="3">D8/F8</f>
        <v>#DIV/0!</v>
      </c>
      <c r="AB8" s="1558" t="e">
        <f t="shared" ref="AB8:AB40" si="4">D8/H8</f>
        <v>#DIV/0!</v>
      </c>
      <c r="AC8" s="1558" t="e">
        <f t="shared" ref="AC8:AC40" si="5">D8/J8</f>
        <v>#DIV/0!</v>
      </c>
    </row>
    <row r="9" spans="1:29" s="1216" customFormat="1" ht="15">
      <c r="A9" s="2870"/>
      <c r="B9" s="2877" t="s">
        <v>2751</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59" t="s">
        <v>535</v>
      </c>
      <c r="Q9" s="1147" t="str">
        <f t="shared" ref="Q9:Q15" si="6">B9</f>
        <v>用途</v>
      </c>
      <c r="R9" s="1555" t="s">
        <v>8</v>
      </c>
      <c r="S9" s="1556">
        <f t="shared" si="0"/>
        <v>100</v>
      </c>
      <c r="T9" s="1555" t="s">
        <v>8</v>
      </c>
      <c r="U9" s="1556">
        <f t="shared" si="1"/>
        <v>100</v>
      </c>
      <c r="V9" s="1555" t="s">
        <v>8</v>
      </c>
      <c r="W9" s="1556">
        <f t="shared" si="2"/>
        <v>100</v>
      </c>
      <c r="X9" s="1557"/>
      <c r="Y9" s="3305" t="s">
        <v>536</v>
      </c>
      <c r="Z9" s="1146" t="str">
        <f t="shared" ref="Z9:Z15" si="7">Q9</f>
        <v>用途</v>
      </c>
      <c r="AA9" s="1558">
        <f t="shared" si="3"/>
        <v>1</v>
      </c>
      <c r="AB9" s="1558">
        <f t="shared" si="4"/>
        <v>1</v>
      </c>
      <c r="AC9" s="1558">
        <f t="shared" si="5"/>
        <v>1</v>
      </c>
    </row>
    <row r="10" spans="1:29" s="1334" customFormat="1" ht="27">
      <c r="A10" s="2871"/>
      <c r="B10" s="2876" t="s">
        <v>2752</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
      <c r="A11" s="2872"/>
      <c r="B11" s="2876" t="s">
        <v>2753</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59"/>
      <c r="Q11" s="1147" t="str">
        <f t="shared" si="6"/>
        <v>容积率</v>
      </c>
      <c r="R11" s="1555" t="s">
        <v>8</v>
      </c>
      <c r="S11" s="1556" t="e">
        <f t="shared" si="0"/>
        <v>#N/A</v>
      </c>
      <c r="T11" s="1555" t="s">
        <v>8</v>
      </c>
      <c r="U11" s="1556" t="e">
        <f t="shared" si="1"/>
        <v>#N/A</v>
      </c>
      <c r="V11" s="1555" t="s">
        <v>8</v>
      </c>
      <c r="W11" s="1556" t="e">
        <f t="shared" si="2"/>
        <v>#N/A</v>
      </c>
      <c r="X11" s="1557"/>
      <c r="Y11" s="330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59"/>
      <c r="Q12" s="1147">
        <f t="shared" si="6"/>
        <v>111</v>
      </c>
      <c r="R12" s="1555" t="s">
        <v>8</v>
      </c>
      <c r="S12" s="1556">
        <f t="shared" si="0"/>
        <v>100</v>
      </c>
      <c r="T12" s="1555" t="s">
        <v>8</v>
      </c>
      <c r="U12" s="1556">
        <f t="shared" si="1"/>
        <v>100</v>
      </c>
      <c r="V12" s="1555" t="s">
        <v>8</v>
      </c>
      <c r="W12" s="1556">
        <f t="shared" si="2"/>
        <v>100</v>
      </c>
      <c r="X12" s="1557"/>
      <c r="Y12" s="3305"/>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59"/>
      <c r="Q13" s="1147">
        <f t="shared" si="6"/>
        <v>111</v>
      </c>
      <c r="R13" s="1555" t="s">
        <v>8</v>
      </c>
      <c r="S13" s="1556">
        <f t="shared" si="0"/>
        <v>100</v>
      </c>
      <c r="T13" s="1555" t="s">
        <v>8</v>
      </c>
      <c r="U13" s="1556">
        <f t="shared" si="1"/>
        <v>100</v>
      </c>
      <c r="V13" s="1555" t="s">
        <v>8</v>
      </c>
      <c r="W13" s="1556">
        <f t="shared" si="2"/>
        <v>100</v>
      </c>
      <c r="X13" s="1557"/>
      <c r="Y13" s="3305"/>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59"/>
      <c r="Q14" s="1147">
        <f t="shared" si="6"/>
        <v>111</v>
      </c>
      <c r="R14" s="1555" t="s">
        <v>8</v>
      </c>
      <c r="S14" s="1556">
        <f t="shared" si="0"/>
        <v>100</v>
      </c>
      <c r="T14" s="1555" t="s">
        <v>8</v>
      </c>
      <c r="U14" s="1556">
        <f t="shared" si="1"/>
        <v>100</v>
      </c>
      <c r="V14" s="1555" t="s">
        <v>8</v>
      </c>
      <c r="W14" s="1556">
        <f t="shared" si="2"/>
        <v>100</v>
      </c>
      <c r="X14" s="1557"/>
      <c r="Y14" s="3305"/>
      <c r="Z14" s="1146">
        <f t="shared" si="7"/>
        <v>111</v>
      </c>
      <c r="AA14" s="1558">
        <f t="shared" si="3"/>
        <v>1</v>
      </c>
      <c r="AB14" s="1558">
        <f t="shared" si="4"/>
        <v>1</v>
      </c>
      <c r="AC14" s="1558">
        <f t="shared" si="5"/>
        <v>1</v>
      </c>
    </row>
    <row r="15" spans="1:29" ht="57">
      <c r="A15" s="2866" t="s">
        <v>2749</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393" t="s">
        <v>540</v>
      </c>
      <c r="Q15" s="1559" t="str">
        <f t="shared" si="6"/>
        <v>产业集聚程度</v>
      </c>
      <c r="R15" s="1560" t="s">
        <v>8</v>
      </c>
      <c r="S15" s="1561">
        <f t="shared" si="0"/>
        <v>100</v>
      </c>
      <c r="T15" s="1560" t="s">
        <v>8</v>
      </c>
      <c r="U15" s="1561">
        <f t="shared" si="1"/>
        <v>100</v>
      </c>
      <c r="V15" s="1560" t="s">
        <v>8</v>
      </c>
      <c r="W15" s="1561">
        <f t="shared" si="2"/>
        <v>100</v>
      </c>
      <c r="X15" s="1554"/>
      <c r="Y15" s="3393"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94"/>
      <c r="Q16" s="1559"/>
      <c r="R16" s="1560"/>
      <c r="S16" s="1561"/>
      <c r="T16" s="1560"/>
      <c r="U16" s="1561"/>
      <c r="V16" s="1560"/>
      <c r="W16" s="1561"/>
      <c r="X16" s="1554"/>
      <c r="Y16" s="3394"/>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394"/>
      <c r="Q17" s="1559" t="str">
        <f>B17</f>
        <v>交通便捷度</v>
      </c>
      <c r="R17" s="1560" t="s">
        <v>8</v>
      </c>
      <c r="S17" s="1561">
        <f>F17</f>
        <v>100</v>
      </c>
      <c r="T17" s="1560" t="s">
        <v>8</v>
      </c>
      <c r="U17" s="1561">
        <f>H17</f>
        <v>100</v>
      </c>
      <c r="V17" s="1560" t="s">
        <v>8</v>
      </c>
      <c r="W17" s="1561">
        <f>J17</f>
        <v>100</v>
      </c>
      <c r="X17" s="1554"/>
      <c r="Y17" s="3394"/>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94"/>
      <c r="Q18" s="1559"/>
      <c r="R18" s="1560"/>
      <c r="S18" s="1561"/>
      <c r="T18" s="1560"/>
      <c r="U18" s="1561"/>
      <c r="V18" s="1560"/>
      <c r="W18" s="1561"/>
      <c r="X18" s="1554"/>
      <c r="Y18" s="3394"/>
      <c r="Z18" s="1562"/>
      <c r="AA18" s="1563">
        <v>1</v>
      </c>
      <c r="AB18" s="1563">
        <v>1</v>
      </c>
      <c r="AC18" s="1563">
        <v>1</v>
      </c>
    </row>
    <row r="19" spans="1:29" ht="42.75">
      <c r="A19" s="532"/>
      <c r="B19" s="2568" t="s">
        <v>2542</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394"/>
      <c r="Q19" s="1559" t="str">
        <f>B19</f>
        <v>公共配套设施</v>
      </c>
      <c r="R19" s="1560" t="s">
        <v>8</v>
      </c>
      <c r="S19" s="1561">
        <f>F19</f>
        <v>100</v>
      </c>
      <c r="T19" s="1560" t="s">
        <v>8</v>
      </c>
      <c r="U19" s="1561">
        <f>H19</f>
        <v>100</v>
      </c>
      <c r="V19" s="1560" t="s">
        <v>8</v>
      </c>
      <c r="W19" s="1561">
        <f>J19</f>
        <v>100</v>
      </c>
      <c r="X19" s="1554"/>
      <c r="Y19" s="3394"/>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394"/>
      <c r="Q20" s="1559"/>
      <c r="R20" s="1560"/>
      <c r="S20" s="1561"/>
      <c r="T20" s="1560"/>
      <c r="U20" s="1561"/>
      <c r="V20" s="1560"/>
      <c r="W20" s="1561"/>
      <c r="X20" s="1554"/>
      <c r="Y20" s="3394"/>
      <c r="Z20" s="1562"/>
      <c r="AA20" s="1563">
        <v>1</v>
      </c>
      <c r="AB20" s="1563">
        <v>1</v>
      </c>
      <c r="AC20" s="1563">
        <v>1</v>
      </c>
    </row>
    <row r="21" spans="1:29" ht="28.5">
      <c r="A21" s="532"/>
      <c r="B21" s="2556" t="s">
        <v>2554</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394"/>
      <c r="Q21" s="2544" t="str">
        <f>B21</f>
        <v>基础设施水平</v>
      </c>
      <c r="R21" s="1560" t="s">
        <v>8</v>
      </c>
      <c r="S21" s="1561">
        <f>F21</f>
        <v>100</v>
      </c>
      <c r="T21" s="1560" t="s">
        <v>8</v>
      </c>
      <c r="U21" s="1561">
        <f>H21</f>
        <v>100</v>
      </c>
      <c r="V21" s="1560" t="s">
        <v>8</v>
      </c>
      <c r="W21" s="1561">
        <f>J21</f>
        <v>100</v>
      </c>
      <c r="X21" s="2546"/>
      <c r="Y21" s="3394"/>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394"/>
      <c r="Q22" s="2544"/>
      <c r="R22" s="1560"/>
      <c r="S22" s="1561"/>
      <c r="T22" s="1560"/>
      <c r="U22" s="1561"/>
      <c r="V22" s="1560"/>
      <c r="W22" s="1561"/>
      <c r="X22" s="2546"/>
      <c r="Y22" s="3394"/>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394"/>
      <c r="Q23" s="1559" t="str">
        <f>B23</f>
        <v>环境质量</v>
      </c>
      <c r="R23" s="1560" t="s">
        <v>8</v>
      </c>
      <c r="S23" s="1561">
        <f>F23</f>
        <v>100</v>
      </c>
      <c r="T23" s="1560" t="s">
        <v>8</v>
      </c>
      <c r="U23" s="1561">
        <f>H23</f>
        <v>100</v>
      </c>
      <c r="V23" s="1560" t="s">
        <v>8</v>
      </c>
      <c r="W23" s="1561">
        <f>J23</f>
        <v>100</v>
      </c>
      <c r="X23" s="1554"/>
      <c r="Y23" s="3394"/>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394"/>
      <c r="Q24" s="1559"/>
      <c r="R24" s="1560"/>
      <c r="S24" s="1561"/>
      <c r="T24" s="1560"/>
      <c r="U24" s="1561"/>
      <c r="V24" s="1560"/>
      <c r="W24" s="1561"/>
      <c r="X24" s="1554"/>
      <c r="Y24" s="3394"/>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394"/>
      <c r="Q25" s="1559">
        <f>B25</f>
        <v>111</v>
      </c>
      <c r="R25" s="1560" t="s">
        <v>8</v>
      </c>
      <c r="S25" s="1561">
        <f>F25</f>
        <v>100</v>
      </c>
      <c r="T25" s="1560" t="s">
        <v>8</v>
      </c>
      <c r="U25" s="1561">
        <f>H25</f>
        <v>100</v>
      </c>
      <c r="V25" s="1560" t="s">
        <v>8</v>
      </c>
      <c r="W25" s="1561">
        <f>J25</f>
        <v>100</v>
      </c>
      <c r="X25" s="1554"/>
      <c r="Y25" s="3394"/>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394"/>
      <c r="Q26" s="1559">
        <f t="shared" ref="Q26:Q40" si="11">B26</f>
        <v>111</v>
      </c>
      <c r="R26" s="1560" t="s">
        <v>8</v>
      </c>
      <c r="S26" s="1561">
        <f>F26</f>
        <v>100</v>
      </c>
      <c r="T26" s="1560" t="s">
        <v>8</v>
      </c>
      <c r="U26" s="1561">
        <f>H26</f>
        <v>100</v>
      </c>
      <c r="V26" s="1560" t="s">
        <v>8</v>
      </c>
      <c r="W26" s="1561">
        <f>J26</f>
        <v>100</v>
      </c>
      <c r="X26" s="1554"/>
      <c r="Y26" s="3394"/>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394"/>
      <c r="Q27" s="1147">
        <f t="shared" si="11"/>
        <v>111</v>
      </c>
      <c r="R27" s="1555" t="s">
        <v>8</v>
      </c>
      <c r="S27" s="1556">
        <f>F27</f>
        <v>100</v>
      </c>
      <c r="T27" s="1555" t="s">
        <v>8</v>
      </c>
      <c r="U27" s="1556">
        <f>H27</f>
        <v>100</v>
      </c>
      <c r="V27" s="1555" t="s">
        <v>8</v>
      </c>
      <c r="W27" s="1556">
        <f>J27</f>
        <v>100</v>
      </c>
      <c r="X27" s="1557"/>
      <c r="Y27" s="3394"/>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394"/>
      <c r="Q28" s="1559">
        <f t="shared" si="11"/>
        <v>111</v>
      </c>
      <c r="R28" s="1560" t="s">
        <v>8</v>
      </c>
      <c r="S28" s="1561">
        <f t="shared" ref="S28:S40" si="12">F28</f>
        <v>100</v>
      </c>
      <c r="T28" s="1560" t="s">
        <v>8</v>
      </c>
      <c r="U28" s="1561">
        <f t="shared" ref="U28:U40" si="13">H28</f>
        <v>100</v>
      </c>
      <c r="V28" s="1560" t="s">
        <v>8</v>
      </c>
      <c r="W28" s="1561">
        <f t="shared" ref="W28:W40" si="14">J28</f>
        <v>100</v>
      </c>
      <c r="X28" s="1554"/>
      <c r="Y28" s="3394"/>
      <c r="Z28" s="1562">
        <f t="shared" ref="Z28:Z40" si="15">Q28</f>
        <v>111</v>
      </c>
      <c r="AA28" s="1563">
        <f t="shared" si="3"/>
        <v>1</v>
      </c>
      <c r="AB28" s="1563">
        <f t="shared" si="4"/>
        <v>1</v>
      </c>
      <c r="AC28" s="1563">
        <f t="shared" si="5"/>
        <v>1</v>
      </c>
    </row>
    <row r="29" spans="1:29" ht="15">
      <c r="A29" s="2863" t="s">
        <v>2750</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395" t="s">
        <v>550</v>
      </c>
      <c r="Q29" s="1559" t="str">
        <f t="shared" si="11"/>
        <v>建筑类型</v>
      </c>
      <c r="R29" s="1560" t="s">
        <v>8</v>
      </c>
      <c r="S29" s="1561">
        <f t="shared" si="12"/>
        <v>100</v>
      </c>
      <c r="T29" s="1560" t="s">
        <v>8</v>
      </c>
      <c r="U29" s="1561">
        <f t="shared" si="13"/>
        <v>100</v>
      </c>
      <c r="V29" s="1560" t="s">
        <v>8</v>
      </c>
      <c r="W29" s="1561">
        <f t="shared" si="14"/>
        <v>100</v>
      </c>
      <c r="X29" s="1554"/>
      <c r="Y29" s="3396"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396"/>
      <c r="Q30" s="1591" t="str">
        <f t="shared" si="11"/>
        <v>项目建筑规模</v>
      </c>
      <c r="R30" s="1564" t="s">
        <v>8</v>
      </c>
      <c r="S30" s="1565" t="e">
        <f t="shared" si="12"/>
        <v>#N/A</v>
      </c>
      <c r="T30" s="1564" t="s">
        <v>8</v>
      </c>
      <c r="U30" s="1565" t="e">
        <f t="shared" si="13"/>
        <v>#N/A</v>
      </c>
      <c r="V30" s="1564" t="s">
        <v>8</v>
      </c>
      <c r="W30" s="1565" t="e">
        <f t="shared" si="14"/>
        <v>#N/A</v>
      </c>
      <c r="X30" s="1566"/>
      <c r="Y30" s="3396"/>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396"/>
      <c r="Q31" s="1559" t="str">
        <f t="shared" si="11"/>
        <v>建筑结构</v>
      </c>
      <c r="R31" s="1560" t="s">
        <v>8</v>
      </c>
      <c r="S31" s="1561">
        <f t="shared" si="12"/>
        <v>100</v>
      </c>
      <c r="T31" s="1560" t="s">
        <v>8</v>
      </c>
      <c r="U31" s="1561">
        <f t="shared" si="13"/>
        <v>100</v>
      </c>
      <c r="V31" s="1560" t="s">
        <v>8</v>
      </c>
      <c r="W31" s="1561">
        <f t="shared" si="14"/>
        <v>100</v>
      </c>
      <c r="X31" s="1554"/>
      <c r="Y31" s="3396"/>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396"/>
      <c r="Q32" s="1559" t="str">
        <f t="shared" si="11"/>
        <v>公共部分装修</v>
      </c>
      <c r="R32" s="1560" t="s">
        <v>8</v>
      </c>
      <c r="S32" s="1561">
        <f t="shared" si="12"/>
        <v>100</v>
      </c>
      <c r="T32" s="1560" t="s">
        <v>8</v>
      </c>
      <c r="U32" s="1561">
        <f t="shared" si="13"/>
        <v>100</v>
      </c>
      <c r="V32" s="1560" t="s">
        <v>8</v>
      </c>
      <c r="W32" s="1561">
        <f t="shared" si="14"/>
        <v>100</v>
      </c>
      <c r="X32" s="1554"/>
      <c r="Y32" s="3396"/>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396"/>
      <c r="Q33" s="1559" t="str">
        <f t="shared" si="11"/>
        <v>成新度</v>
      </c>
      <c r="R33" s="1560" t="s">
        <v>8</v>
      </c>
      <c r="S33" s="1561" t="e">
        <f t="shared" si="12"/>
        <v>#N/A</v>
      </c>
      <c r="T33" s="1560" t="s">
        <v>8</v>
      </c>
      <c r="U33" s="1561" t="e">
        <f t="shared" si="13"/>
        <v>#N/A</v>
      </c>
      <c r="V33" s="1560" t="s">
        <v>8</v>
      </c>
      <c r="W33" s="1561" t="e">
        <f t="shared" si="14"/>
        <v>#N/A</v>
      </c>
      <c r="X33" s="1554"/>
      <c r="Y33" s="3396"/>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396"/>
      <c r="Q34" s="1147" t="str">
        <f t="shared" si="11"/>
        <v>物业管理</v>
      </c>
      <c r="R34" s="1555" t="s">
        <v>8</v>
      </c>
      <c r="S34" s="1556">
        <f t="shared" si="12"/>
        <v>100</v>
      </c>
      <c r="T34" s="1555" t="s">
        <v>8</v>
      </c>
      <c r="U34" s="1556">
        <f t="shared" si="13"/>
        <v>100</v>
      </c>
      <c r="V34" s="1555" t="s">
        <v>8</v>
      </c>
      <c r="W34" s="1556">
        <f t="shared" si="14"/>
        <v>100</v>
      </c>
      <c r="X34" s="1557"/>
      <c r="Y34" s="3396"/>
      <c r="Z34" s="1146" t="str">
        <f t="shared" si="15"/>
        <v>物业管理</v>
      </c>
      <c r="AA34" s="1558">
        <f t="shared" si="3"/>
        <v>1</v>
      </c>
      <c r="AB34" s="1558">
        <f t="shared" si="4"/>
        <v>1</v>
      </c>
      <c r="AC34" s="1558">
        <f t="shared" si="5"/>
        <v>1</v>
      </c>
    </row>
    <row r="35" spans="1:29" ht="15">
      <c r="A35" s="594"/>
      <c r="B35" s="1881" t="s">
        <v>2561</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396" t="s">
        <v>550</v>
      </c>
      <c r="Q35" s="1559" t="str">
        <f t="shared" si="11"/>
        <v>市政基础设施</v>
      </c>
      <c r="R35" s="1560" t="s">
        <v>8</v>
      </c>
      <c r="S35" s="1561">
        <f t="shared" si="12"/>
        <v>100</v>
      </c>
      <c r="T35" s="1560" t="s">
        <v>8</v>
      </c>
      <c r="U35" s="1561">
        <f t="shared" si="13"/>
        <v>100</v>
      </c>
      <c r="V35" s="1560" t="s">
        <v>8</v>
      </c>
      <c r="W35" s="1561">
        <f t="shared" si="14"/>
        <v>100</v>
      </c>
      <c r="X35" s="1554"/>
      <c r="Y35" s="3396"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396"/>
      <c r="Q36" s="1559" t="str">
        <f t="shared" si="11"/>
        <v>内部装修</v>
      </c>
      <c r="R36" s="1560" t="s">
        <v>8</v>
      </c>
      <c r="S36" s="1561">
        <f t="shared" si="12"/>
        <v>100</v>
      </c>
      <c r="T36" s="1560" t="s">
        <v>8</v>
      </c>
      <c r="U36" s="1561">
        <f t="shared" si="13"/>
        <v>100</v>
      </c>
      <c r="V36" s="1560" t="s">
        <v>8</v>
      </c>
      <c r="W36" s="1561">
        <f t="shared" si="14"/>
        <v>100</v>
      </c>
      <c r="X36" s="1554"/>
      <c r="Y36" s="3396"/>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396"/>
      <c r="Q37" s="1559" t="str">
        <f t="shared" si="11"/>
        <v>内部装修状况</v>
      </c>
      <c r="R37" s="1560" t="s">
        <v>8</v>
      </c>
      <c r="S37" s="1561">
        <f t="shared" si="12"/>
        <v>100</v>
      </c>
      <c r="T37" s="1560" t="s">
        <v>8</v>
      </c>
      <c r="U37" s="1561">
        <f t="shared" si="13"/>
        <v>100</v>
      </c>
      <c r="V37" s="1560" t="s">
        <v>8</v>
      </c>
      <c r="W37" s="1561">
        <f t="shared" si="14"/>
        <v>100</v>
      </c>
      <c r="X37" s="1554"/>
      <c r="Y37" s="3396"/>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396"/>
      <c r="Q38" s="1591">
        <f t="shared" si="11"/>
        <v>111</v>
      </c>
      <c r="R38" s="1564" t="s">
        <v>8</v>
      </c>
      <c r="S38" s="1565">
        <f t="shared" si="12"/>
        <v>100</v>
      </c>
      <c r="T38" s="1564" t="s">
        <v>8</v>
      </c>
      <c r="U38" s="1565">
        <f t="shared" si="13"/>
        <v>100</v>
      </c>
      <c r="V38" s="1564" t="s">
        <v>8</v>
      </c>
      <c r="W38" s="1565">
        <f t="shared" si="14"/>
        <v>100</v>
      </c>
      <c r="X38" s="1566"/>
      <c r="Y38" s="3396"/>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396"/>
      <c r="Q39" s="1559">
        <f t="shared" si="11"/>
        <v>111</v>
      </c>
      <c r="R39" s="1560" t="s">
        <v>8</v>
      </c>
      <c r="S39" s="1561">
        <f t="shared" si="12"/>
        <v>100</v>
      </c>
      <c r="T39" s="1560" t="s">
        <v>8</v>
      </c>
      <c r="U39" s="1561">
        <f t="shared" si="13"/>
        <v>100</v>
      </c>
      <c r="V39" s="1560" t="s">
        <v>8</v>
      </c>
      <c r="W39" s="1561">
        <f t="shared" si="14"/>
        <v>100</v>
      </c>
      <c r="X39" s="1554"/>
      <c r="Y39" s="3396"/>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54"/>
      <c r="Q40" s="1559">
        <f t="shared" si="11"/>
        <v>111</v>
      </c>
      <c r="R40" s="1560" t="s">
        <v>8</v>
      </c>
      <c r="S40" s="1561">
        <f t="shared" si="12"/>
        <v>100</v>
      </c>
      <c r="T40" s="1560" t="s">
        <v>8</v>
      </c>
      <c r="U40" s="1561">
        <f t="shared" si="13"/>
        <v>100</v>
      </c>
      <c r="V40" s="1560" t="s">
        <v>8</v>
      </c>
      <c r="W40" s="1561">
        <f t="shared" si="14"/>
        <v>100</v>
      </c>
      <c r="X40" s="1554"/>
      <c r="Y40" s="3454"/>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59" t="str">
        <f>A41</f>
        <v>成交单价（元/平方米）</v>
      </c>
      <c r="Q41" s="3359"/>
      <c r="R41" s="3453">
        <f>E41</f>
        <v>0</v>
      </c>
      <c r="S41" s="3453"/>
      <c r="T41" s="3453">
        <f>G41</f>
        <v>0</v>
      </c>
      <c r="U41" s="3453"/>
      <c r="V41" s="3453">
        <f>I41</f>
        <v>0</v>
      </c>
      <c r="W41" s="3453"/>
      <c r="X41" s="1546"/>
      <c r="Y41" s="1568"/>
      <c r="Z41" s="1546"/>
      <c r="AA41" s="1546"/>
      <c r="AB41" s="1546"/>
      <c r="AC41" s="1546"/>
    </row>
    <row r="42" spans="1:29" ht="15.75" thickBot="1">
      <c r="A42" s="615" t="s">
        <v>2755</v>
      </c>
      <c r="B42" s="888"/>
      <c r="C42" s="2598" t="e">
        <f>R43</f>
        <v>#DIV/0!</v>
      </c>
      <c r="D42" s="2599"/>
      <c r="E42" s="2600" t="e">
        <f>R42</f>
        <v>#DIV/0!</v>
      </c>
      <c r="F42" s="2600"/>
      <c r="G42" s="2598" t="e">
        <f>T42</f>
        <v>#DIV/0!</v>
      </c>
      <c r="H42" s="2599"/>
      <c r="I42" s="2600" t="e">
        <f>V42</f>
        <v>#DIV/0!</v>
      </c>
      <c r="J42" s="2599"/>
      <c r="K42" s="1598"/>
      <c r="L42" s="2130"/>
      <c r="M42" s="2131"/>
      <c r="N42" s="2120"/>
      <c r="O42" s="2131"/>
      <c r="P42" s="3359" t="str">
        <f>A42</f>
        <v>比较价格（元/平方米）</v>
      </c>
      <c r="Q42" s="3359"/>
      <c r="R42" s="3453" t="e">
        <f>IF(F1="售价",ROUND(PRODUCT(R41,AA7:AA40),0),ROUND(PRODUCT(R41,AA7:AA40),1))</f>
        <v>#DIV/0!</v>
      </c>
      <c r="S42" s="3453"/>
      <c r="T42" s="3453" t="e">
        <f>IF(F1="售价",ROUND(PRODUCT(T41,AB7:AB40),0),ROUND(PRODUCT(T41,AB7:AB40),1))</f>
        <v>#DIV/0!</v>
      </c>
      <c r="U42" s="3453"/>
      <c r="V42" s="3453" t="e">
        <f>IF(F1="售价",ROUND(PRODUCT(V41,AC7:AC40),0),ROUND(PRODUCT(V41,AC7:AC40),1))</f>
        <v>#DIV/0!</v>
      </c>
      <c r="W42" s="3453"/>
      <c r="X42" s="1546"/>
      <c r="Y42" s="1546"/>
      <c r="Z42" s="1546"/>
      <c r="AA42" s="1546"/>
      <c r="AB42" s="1546"/>
      <c r="AC42" s="1546"/>
    </row>
    <row r="43" spans="1:29" ht="15.75" thickBot="1">
      <c r="A43" s="621" t="s">
        <v>2931</v>
      </c>
      <c r="B43" s="622"/>
      <c r="C43" s="2601" t="e">
        <f>R43</f>
        <v>#DIV/0!</v>
      </c>
      <c r="D43" s="2601"/>
      <c r="E43" s="2601"/>
      <c r="F43" s="2601"/>
      <c r="G43" s="2601"/>
      <c r="H43" s="2601"/>
      <c r="I43" s="2601"/>
      <c r="J43" s="2601"/>
      <c r="K43" s="1599"/>
      <c r="L43" s="2130"/>
      <c r="M43" s="2131"/>
      <c r="N43" s="2131"/>
      <c r="O43" s="2131"/>
      <c r="P43" s="3356" t="str">
        <f>A43</f>
        <v>估价对象XX用房的比较价格（楼面单价，元/平方米）</v>
      </c>
      <c r="Q43" s="3357"/>
      <c r="R43" s="3452" t="e">
        <f>IF(F1="售价",ROUND(AVERAGE(R42:V42),0),ROUND(AVERAGE(R42:V42),1))</f>
        <v>#DIV/0!</v>
      </c>
      <c r="S43" s="3452"/>
      <c r="T43" s="3452"/>
      <c r="U43" s="3452"/>
      <c r="V43" s="3452"/>
      <c r="W43" s="3452"/>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2020-4</v>
      </c>
      <c r="D52" s="2760">
        <f>EDATE(C52,-1)</f>
        <v>43891</v>
      </c>
      <c r="E52" s="2760">
        <f t="shared" ref="E52:O52" si="16">EDATE(D52,-1)</f>
        <v>43862</v>
      </c>
      <c r="F52" s="2760">
        <f t="shared" si="16"/>
        <v>43831</v>
      </c>
      <c r="G52" s="2760">
        <f t="shared" si="16"/>
        <v>43800</v>
      </c>
      <c r="H52" s="2760">
        <f t="shared" si="16"/>
        <v>43770</v>
      </c>
      <c r="I52" s="2760">
        <f t="shared" si="16"/>
        <v>43739</v>
      </c>
      <c r="J52" s="2760">
        <f t="shared" si="16"/>
        <v>43709</v>
      </c>
      <c r="K52" s="2760">
        <f t="shared" si="16"/>
        <v>43678</v>
      </c>
      <c r="L52" s="2760">
        <f t="shared" si="16"/>
        <v>43647</v>
      </c>
      <c r="M52" s="2760">
        <f t="shared" si="16"/>
        <v>43617</v>
      </c>
      <c r="N52" s="2760">
        <f t="shared" si="16"/>
        <v>43586</v>
      </c>
      <c r="O52" s="2760">
        <f t="shared" si="16"/>
        <v>43556</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2553</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2554</v>
      </c>
      <c r="C76" s="2563" t="s">
        <v>2555</v>
      </c>
      <c r="D76" s="2563" t="s">
        <v>2556</v>
      </c>
      <c r="E76" s="2563" t="s">
        <v>2557</v>
      </c>
      <c r="F76" s="2563" t="s">
        <v>2558</v>
      </c>
      <c r="G76" s="2563" t="s">
        <v>2559</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2552</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2073</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65" t="s">
        <v>798</v>
      </c>
      <c r="D4" s="3366"/>
      <c r="E4" s="3365" t="s">
        <v>799</v>
      </c>
      <c r="F4" s="3366"/>
      <c r="G4" s="3365" t="s">
        <v>800</v>
      </c>
      <c r="H4" s="3366"/>
      <c r="I4" s="3365" t="s">
        <v>801</v>
      </c>
      <c r="J4" s="3366"/>
      <c r="K4" s="514" t="s">
        <v>802</v>
      </c>
      <c r="L4" s="2119"/>
      <c r="M4" s="2120"/>
      <c r="N4" s="2120"/>
      <c r="O4" s="2120"/>
      <c r="P4" s="3367" t="s">
        <v>803</v>
      </c>
      <c r="Q4" s="3368"/>
      <c r="R4" s="3373" t="s">
        <v>799</v>
      </c>
      <c r="S4" s="3374"/>
      <c r="T4" s="3373" t="s">
        <v>800</v>
      </c>
      <c r="U4" s="3374"/>
      <c r="V4" s="3360" t="s">
        <v>801</v>
      </c>
      <c r="W4" s="3360"/>
      <c r="X4" s="1554"/>
      <c r="Y4" s="3373" t="s">
        <v>803</v>
      </c>
      <c r="Z4" s="3374"/>
      <c r="AA4" s="3362" t="s">
        <v>799</v>
      </c>
      <c r="AB4" s="3363" t="s">
        <v>800</v>
      </c>
      <c r="AC4" s="3362" t="s">
        <v>801</v>
      </c>
    </row>
    <row r="5" spans="1:29" ht="15">
      <c r="A5" s="515"/>
      <c r="B5" s="516"/>
      <c r="C5" s="3381" t="s">
        <v>2925</v>
      </c>
      <c r="D5" s="3382"/>
      <c r="E5" s="3381" t="s">
        <v>2926</v>
      </c>
      <c r="F5" s="3382"/>
      <c r="G5" s="3381" t="s">
        <v>2927</v>
      </c>
      <c r="H5" s="3382"/>
      <c r="I5" s="3381" t="s">
        <v>2928</v>
      </c>
      <c r="J5" s="3382"/>
      <c r="K5" s="514"/>
      <c r="L5" s="2119"/>
      <c r="M5" s="2120"/>
      <c r="N5" s="2120"/>
      <c r="O5" s="2120"/>
      <c r="P5" s="3369"/>
      <c r="Q5" s="3370"/>
      <c r="R5" s="3375"/>
      <c r="S5" s="3376"/>
      <c r="T5" s="3375"/>
      <c r="U5" s="3376"/>
      <c r="V5" s="3360"/>
      <c r="W5" s="3360"/>
      <c r="X5" s="1554"/>
      <c r="Y5" s="3375"/>
      <c r="Z5" s="3376"/>
      <c r="AA5" s="3363"/>
      <c r="AB5" s="3363"/>
      <c r="AC5" s="3363"/>
    </row>
    <row r="6" spans="1:29" ht="15.75" thickBot="1">
      <c r="A6" s="517"/>
      <c r="B6" s="518"/>
      <c r="C6" s="3379" t="s">
        <v>2929</v>
      </c>
      <c r="D6" s="3380"/>
      <c r="E6" s="3383" t="s">
        <v>2929</v>
      </c>
      <c r="F6" s="3384"/>
      <c r="G6" s="3379" t="s">
        <v>2929</v>
      </c>
      <c r="H6" s="3380"/>
      <c r="I6" s="3379" t="s">
        <v>2929</v>
      </c>
      <c r="J6" s="3380"/>
      <c r="K6" s="514" t="s">
        <v>528</v>
      </c>
      <c r="L6" s="2119"/>
      <c r="M6" s="2120"/>
      <c r="N6" s="2120"/>
      <c r="O6" s="2120"/>
      <c r="P6" s="3371"/>
      <c r="Q6" s="3372"/>
      <c r="R6" s="3375"/>
      <c r="S6" s="3376"/>
      <c r="T6" s="3377"/>
      <c r="U6" s="3378"/>
      <c r="V6" s="3360"/>
      <c r="W6" s="3360"/>
      <c r="X6" s="1554"/>
      <c r="Y6" s="3377"/>
      <c r="Z6" s="3378"/>
      <c r="AA6" s="3364"/>
      <c r="AB6" s="3364"/>
      <c r="AC6" s="3364"/>
    </row>
    <row r="7" spans="1:29" s="1216" customFormat="1" ht="15.75" thickBot="1">
      <c r="A7" s="2868"/>
      <c r="B7" s="2875" t="s">
        <v>529</v>
      </c>
      <c r="C7" s="519">
        <f>'数据-取费表'!B2</f>
        <v>43927</v>
      </c>
      <c r="D7" s="520">
        <v>100</v>
      </c>
      <c r="E7" s="521"/>
      <c r="F7" s="522">
        <f>SUMIF(48:48,YEAR(E7)&amp;"-"&amp;MONTH(E7),49:49)</f>
        <v>0</v>
      </c>
      <c r="G7" s="523"/>
      <c r="H7" s="520">
        <f>SUMIF(48:48,YEAR(G7)&amp;"-"&amp;MONTH(G7),49:49)</f>
        <v>0</v>
      </c>
      <c r="I7" s="523"/>
      <c r="J7" s="520">
        <f>SUMIF(48:48,YEAR(I7)&amp;"-"&amp;MONTH(I7),49:49)</f>
        <v>0</v>
      </c>
      <c r="K7" s="524"/>
      <c r="L7" s="2121"/>
      <c r="M7" s="2122"/>
      <c r="N7" s="2122"/>
      <c r="O7" s="2122"/>
      <c r="P7" s="3390" t="s">
        <v>530</v>
      </c>
      <c r="Q7" s="3392"/>
      <c r="R7" s="1555" t="s">
        <v>8</v>
      </c>
      <c r="S7" s="1556">
        <f t="shared" ref="S7:S14" si="0">F7</f>
        <v>0</v>
      </c>
      <c r="T7" s="1555" t="s">
        <v>8</v>
      </c>
      <c r="U7" s="1556">
        <f t="shared" ref="U7:U14" si="1">H7</f>
        <v>0</v>
      </c>
      <c r="V7" s="1555" t="s">
        <v>8</v>
      </c>
      <c r="W7" s="1556">
        <f t="shared" ref="W7:W14" si="2">J7</f>
        <v>0</v>
      </c>
      <c r="X7" s="1557"/>
      <c r="Y7" s="3390" t="s">
        <v>530</v>
      </c>
      <c r="Z7" s="3391"/>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390" t="s">
        <v>533</v>
      </c>
      <c r="Q8" s="3391"/>
      <c r="R8" s="1555" t="s">
        <v>8</v>
      </c>
      <c r="S8" s="1556">
        <f t="shared" si="0"/>
        <v>0</v>
      </c>
      <c r="T8" s="1555" t="s">
        <v>8</v>
      </c>
      <c r="U8" s="1556">
        <f t="shared" si="1"/>
        <v>0</v>
      </c>
      <c r="V8" s="1555" t="s">
        <v>8</v>
      </c>
      <c r="W8" s="1556">
        <f t="shared" si="2"/>
        <v>0</v>
      </c>
      <c r="X8" s="1557"/>
      <c r="Y8" s="3390" t="s">
        <v>533</v>
      </c>
      <c r="Z8" s="3391"/>
      <c r="AA8" s="1558" t="e">
        <f t="shared" ref="AA8:AA36" si="3">D8/F8</f>
        <v>#DIV/0!</v>
      </c>
      <c r="AB8" s="1558" t="e">
        <f t="shared" ref="AB8:AB36" si="4">D8/H8</f>
        <v>#DIV/0!</v>
      </c>
      <c r="AC8" s="1558" t="e">
        <f t="shared" ref="AC8:AC36" si="5">D8/J8</f>
        <v>#DIV/0!</v>
      </c>
    </row>
    <row r="9" spans="1:29" s="1216" customFormat="1" ht="15">
      <c r="A9" s="2870"/>
      <c r="B9" s="2877" t="s">
        <v>2751</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59" t="s">
        <v>535</v>
      </c>
      <c r="Q9" s="1147" t="str">
        <f t="shared" ref="Q9:Q14" si="6">B9</f>
        <v>用途</v>
      </c>
      <c r="R9" s="1555" t="s">
        <v>8</v>
      </c>
      <c r="S9" s="1556">
        <f t="shared" si="0"/>
        <v>100</v>
      </c>
      <c r="T9" s="1555" t="s">
        <v>8</v>
      </c>
      <c r="U9" s="1556">
        <f t="shared" si="1"/>
        <v>100</v>
      </c>
      <c r="V9" s="1555" t="s">
        <v>8</v>
      </c>
      <c r="W9" s="1556">
        <f t="shared" si="2"/>
        <v>100</v>
      </c>
      <c r="X9" s="1557"/>
      <c r="Y9" s="3305" t="s">
        <v>536</v>
      </c>
      <c r="Z9" s="1146" t="str">
        <f t="shared" ref="Z9:Z14" si="7">Q9</f>
        <v>用途</v>
      </c>
      <c r="AA9" s="1558">
        <f t="shared" si="3"/>
        <v>1</v>
      </c>
      <c r="AB9" s="1558">
        <f t="shared" si="4"/>
        <v>1</v>
      </c>
      <c r="AC9" s="1558">
        <f t="shared" si="5"/>
        <v>1</v>
      </c>
    </row>
    <row r="10" spans="1:29" s="1334" customFormat="1" ht="27">
      <c r="A10" s="2871"/>
      <c r="B10" s="2876" t="s">
        <v>2752</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59"/>
      <c r="Q11" s="1147">
        <f t="shared" si="6"/>
        <v>111</v>
      </c>
      <c r="R11" s="1555" t="s">
        <v>8</v>
      </c>
      <c r="S11" s="1556">
        <f t="shared" si="0"/>
        <v>100</v>
      </c>
      <c r="T11" s="1555" t="s">
        <v>8</v>
      </c>
      <c r="U11" s="1556">
        <f t="shared" si="1"/>
        <v>100</v>
      </c>
      <c r="V11" s="1555" t="s">
        <v>8</v>
      </c>
      <c r="W11" s="1556">
        <f t="shared" si="2"/>
        <v>100</v>
      </c>
      <c r="X11" s="1557"/>
      <c r="Y11" s="3305"/>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59"/>
      <c r="Q12" s="1147">
        <f t="shared" si="6"/>
        <v>111</v>
      </c>
      <c r="R12" s="1555" t="s">
        <v>8</v>
      </c>
      <c r="S12" s="1556">
        <f t="shared" si="0"/>
        <v>100</v>
      </c>
      <c r="T12" s="1555" t="s">
        <v>8</v>
      </c>
      <c r="U12" s="1556">
        <f t="shared" si="1"/>
        <v>100</v>
      </c>
      <c r="V12" s="1555" t="s">
        <v>8</v>
      </c>
      <c r="W12" s="1556">
        <f t="shared" si="2"/>
        <v>100</v>
      </c>
      <c r="X12" s="1557"/>
      <c r="Y12" s="3305"/>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59"/>
      <c r="Q13" s="1147">
        <f t="shared" si="6"/>
        <v>111</v>
      </c>
      <c r="R13" s="1555" t="s">
        <v>8</v>
      </c>
      <c r="S13" s="1556">
        <f t="shared" si="0"/>
        <v>100</v>
      </c>
      <c r="T13" s="1555" t="s">
        <v>8</v>
      </c>
      <c r="U13" s="1556">
        <f t="shared" si="1"/>
        <v>100</v>
      </c>
      <c r="V13" s="1555" t="s">
        <v>8</v>
      </c>
      <c r="W13" s="1556">
        <f t="shared" si="2"/>
        <v>100</v>
      </c>
      <c r="X13" s="1557"/>
      <c r="Y13" s="3305"/>
      <c r="Z13" s="1146">
        <f t="shared" si="7"/>
        <v>111</v>
      </c>
      <c r="AA13" s="1558">
        <f t="shared" si="3"/>
        <v>1</v>
      </c>
      <c r="AB13" s="1558">
        <f t="shared" si="4"/>
        <v>1</v>
      </c>
      <c r="AC13" s="1558">
        <f t="shared" si="5"/>
        <v>1</v>
      </c>
    </row>
    <row r="14" spans="1:29" ht="85.5">
      <c r="A14" s="2866" t="s">
        <v>2749</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393" t="s">
        <v>540</v>
      </c>
      <c r="Q14" s="1559" t="str">
        <f t="shared" si="6"/>
        <v>交通便捷度</v>
      </c>
      <c r="R14" s="1560" t="s">
        <v>8</v>
      </c>
      <c r="S14" s="1561">
        <f t="shared" si="0"/>
        <v>100</v>
      </c>
      <c r="T14" s="1560" t="s">
        <v>8</v>
      </c>
      <c r="U14" s="1561">
        <f t="shared" si="1"/>
        <v>100</v>
      </c>
      <c r="V14" s="1560" t="s">
        <v>8</v>
      </c>
      <c r="W14" s="1561">
        <f t="shared" si="2"/>
        <v>100</v>
      </c>
      <c r="X14" s="1554"/>
      <c r="Y14" s="3393"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394"/>
      <c r="Q15" s="1559"/>
      <c r="R15" s="1560"/>
      <c r="S15" s="1561"/>
      <c r="T15" s="1560"/>
      <c r="U15" s="1561"/>
      <c r="V15" s="1560"/>
      <c r="W15" s="1561"/>
      <c r="X15" s="1554"/>
      <c r="Y15" s="3394"/>
      <c r="Z15" s="1562"/>
      <c r="AA15" s="1563">
        <v>1</v>
      </c>
      <c r="AB15" s="1563">
        <v>1</v>
      </c>
      <c r="AC15" s="1563">
        <v>1</v>
      </c>
    </row>
    <row r="16" spans="1:29" ht="42.75">
      <c r="A16" s="515"/>
      <c r="B16" s="2568" t="s">
        <v>2542</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394"/>
      <c r="Q16" s="1559" t="str">
        <f>B16</f>
        <v>公共配套设施</v>
      </c>
      <c r="R16" s="1560" t="s">
        <v>8</v>
      </c>
      <c r="S16" s="1561">
        <f>F16</f>
        <v>100</v>
      </c>
      <c r="T16" s="1560" t="s">
        <v>8</v>
      </c>
      <c r="U16" s="1561">
        <f>H16</f>
        <v>100</v>
      </c>
      <c r="V16" s="1560" t="s">
        <v>8</v>
      </c>
      <c r="W16" s="1561">
        <f>J16</f>
        <v>100</v>
      </c>
      <c r="X16" s="1554"/>
      <c r="Y16" s="3394"/>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394"/>
      <c r="Q17" s="1559"/>
      <c r="R17" s="1560"/>
      <c r="S17" s="1561"/>
      <c r="T17" s="1560"/>
      <c r="U17" s="1561"/>
      <c r="V17" s="1560"/>
      <c r="W17" s="1561"/>
      <c r="X17" s="1554"/>
      <c r="Y17" s="3394"/>
      <c r="Z17" s="1562"/>
      <c r="AA17" s="1563">
        <v>1</v>
      </c>
      <c r="AB17" s="1563">
        <v>1</v>
      </c>
      <c r="AC17" s="1563">
        <v>1</v>
      </c>
    </row>
    <row r="18" spans="1:29" ht="28.5">
      <c r="A18" s="515"/>
      <c r="B18" s="2556" t="s">
        <v>2554</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394"/>
      <c r="Q18" s="2544" t="str">
        <f>B18</f>
        <v>基础设施水平</v>
      </c>
      <c r="R18" s="1560" t="s">
        <v>8</v>
      </c>
      <c r="S18" s="1561">
        <f>F18</f>
        <v>100</v>
      </c>
      <c r="T18" s="1560" t="s">
        <v>8</v>
      </c>
      <c r="U18" s="1561">
        <f>H18</f>
        <v>100</v>
      </c>
      <c r="V18" s="1560" t="s">
        <v>8</v>
      </c>
      <c r="W18" s="1561">
        <f>J18</f>
        <v>100</v>
      </c>
      <c r="X18" s="2546"/>
      <c r="Y18" s="3394"/>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394"/>
      <c r="Q19" s="2544"/>
      <c r="R19" s="1560"/>
      <c r="S19" s="1561"/>
      <c r="T19" s="1560"/>
      <c r="U19" s="1561"/>
      <c r="V19" s="1560"/>
      <c r="W19" s="1561"/>
      <c r="X19" s="2546"/>
      <c r="Y19" s="3394"/>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394"/>
      <c r="Q20" s="1559" t="str">
        <f>B20</f>
        <v>自然及人文环境</v>
      </c>
      <c r="R20" s="1560" t="s">
        <v>8</v>
      </c>
      <c r="S20" s="1561">
        <f>F20</f>
        <v>100</v>
      </c>
      <c r="T20" s="1560" t="s">
        <v>8</v>
      </c>
      <c r="U20" s="1561">
        <f>H20</f>
        <v>100</v>
      </c>
      <c r="V20" s="1560" t="s">
        <v>8</v>
      </c>
      <c r="W20" s="1561">
        <f>J20</f>
        <v>100</v>
      </c>
      <c r="X20" s="1554"/>
      <c r="Y20" s="3394"/>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394"/>
      <c r="Q21" s="1559"/>
      <c r="R21" s="1560"/>
      <c r="S21" s="1561"/>
      <c r="T21" s="1560"/>
      <c r="U21" s="1561"/>
      <c r="V21" s="1560"/>
      <c r="W21" s="1561"/>
      <c r="X21" s="1554"/>
      <c r="Y21" s="3394"/>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394"/>
      <c r="Q22" s="1559" t="str">
        <f>B22</f>
        <v>楼层</v>
      </c>
      <c r="R22" s="1560" t="s">
        <v>8</v>
      </c>
      <c r="S22" s="1561">
        <f>F22</f>
        <v>100</v>
      </c>
      <c r="T22" s="1560" t="s">
        <v>8</v>
      </c>
      <c r="U22" s="1561">
        <f>H22</f>
        <v>100</v>
      </c>
      <c r="V22" s="1560" t="s">
        <v>8</v>
      </c>
      <c r="W22" s="1561">
        <f>J22</f>
        <v>100</v>
      </c>
      <c r="X22" s="1554"/>
      <c r="Y22" s="3394"/>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394"/>
      <c r="Q23" s="1559">
        <f>B23</f>
        <v>111</v>
      </c>
      <c r="R23" s="1560" t="s">
        <v>8</v>
      </c>
      <c r="S23" s="1561">
        <f>F23</f>
        <v>100</v>
      </c>
      <c r="T23" s="1560" t="s">
        <v>8</v>
      </c>
      <c r="U23" s="1561">
        <f>H23</f>
        <v>100</v>
      </c>
      <c r="V23" s="1560" t="s">
        <v>8</v>
      </c>
      <c r="W23" s="1561">
        <f>J23</f>
        <v>100</v>
      </c>
      <c r="X23" s="1554"/>
      <c r="Y23" s="3394"/>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394"/>
      <c r="Q24" s="1559">
        <f t="shared" ref="Q24:Q36" si="11">B24</f>
        <v>111</v>
      </c>
      <c r="R24" s="1560" t="s">
        <v>8</v>
      </c>
      <c r="S24" s="1561">
        <f>F24</f>
        <v>100</v>
      </c>
      <c r="T24" s="1560" t="s">
        <v>8</v>
      </c>
      <c r="U24" s="1561">
        <f>H24</f>
        <v>100</v>
      </c>
      <c r="V24" s="1560" t="s">
        <v>8</v>
      </c>
      <c r="W24" s="1561">
        <f>J24</f>
        <v>100</v>
      </c>
      <c r="X24" s="1554"/>
      <c r="Y24" s="3394"/>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394"/>
      <c r="Q25" s="1147">
        <f t="shared" si="11"/>
        <v>111</v>
      </c>
      <c r="R25" s="1555" t="s">
        <v>8</v>
      </c>
      <c r="S25" s="1556">
        <f>F25</f>
        <v>100</v>
      </c>
      <c r="T25" s="1555" t="s">
        <v>8</v>
      </c>
      <c r="U25" s="1556">
        <f>H25</f>
        <v>100</v>
      </c>
      <c r="V25" s="1555" t="s">
        <v>8</v>
      </c>
      <c r="W25" s="1556">
        <f>J25</f>
        <v>100</v>
      </c>
      <c r="X25" s="1557"/>
      <c r="Y25" s="3394"/>
      <c r="Z25" s="1146">
        <f>Q25</f>
        <v>111</v>
      </c>
      <c r="AA25" s="1563">
        <f>D25/F25</f>
        <v>1</v>
      </c>
      <c r="AB25" s="1563">
        <f>D25/H25</f>
        <v>1</v>
      </c>
      <c r="AC25" s="1563">
        <f>D25/J25</f>
        <v>1</v>
      </c>
    </row>
    <row r="26" spans="1:29" ht="15">
      <c r="A26" s="2863" t="s">
        <v>2750</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395"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396"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396"/>
      <c r="Q27" s="1591" t="str">
        <f t="shared" si="11"/>
        <v>项目停车位配比</v>
      </c>
      <c r="R27" s="1564" t="s">
        <v>8</v>
      </c>
      <c r="S27" s="1565">
        <f t="shared" si="12"/>
        <v>100</v>
      </c>
      <c r="T27" s="1564" t="s">
        <v>8</v>
      </c>
      <c r="U27" s="1565">
        <f t="shared" si="13"/>
        <v>100</v>
      </c>
      <c r="V27" s="1564" t="s">
        <v>8</v>
      </c>
      <c r="W27" s="1565">
        <f t="shared" si="14"/>
        <v>100</v>
      </c>
      <c r="X27" s="1566"/>
      <c r="Y27" s="3396"/>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396"/>
      <c r="Q28" s="1559" t="str">
        <f t="shared" si="11"/>
        <v>公共部分装修</v>
      </c>
      <c r="R28" s="1560" t="s">
        <v>8</v>
      </c>
      <c r="S28" s="1561">
        <f t="shared" si="12"/>
        <v>100</v>
      </c>
      <c r="T28" s="1560" t="s">
        <v>8</v>
      </c>
      <c r="U28" s="1561">
        <f t="shared" si="13"/>
        <v>100</v>
      </c>
      <c r="V28" s="1560" t="s">
        <v>8</v>
      </c>
      <c r="W28" s="1561">
        <f t="shared" si="14"/>
        <v>100</v>
      </c>
      <c r="X28" s="1554"/>
      <c r="Y28" s="3396"/>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396"/>
      <c r="Q29" s="1559" t="str">
        <f t="shared" si="11"/>
        <v>成新率</v>
      </c>
      <c r="R29" s="1560" t="s">
        <v>8</v>
      </c>
      <c r="S29" s="1561" t="e">
        <f t="shared" si="12"/>
        <v>#N/A</v>
      </c>
      <c r="T29" s="1560" t="s">
        <v>8</v>
      </c>
      <c r="U29" s="1561" t="e">
        <f t="shared" si="13"/>
        <v>#N/A</v>
      </c>
      <c r="V29" s="1560" t="s">
        <v>8</v>
      </c>
      <c r="W29" s="1561" t="e">
        <f t="shared" si="14"/>
        <v>#N/A</v>
      </c>
      <c r="X29" s="1554"/>
      <c r="Y29" s="3396"/>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396"/>
      <c r="Q30" s="1559" t="str">
        <f t="shared" si="11"/>
        <v>物业等级</v>
      </c>
      <c r="R30" s="1560" t="s">
        <v>8</v>
      </c>
      <c r="S30" s="1561">
        <f t="shared" si="12"/>
        <v>100</v>
      </c>
      <c r="T30" s="1560" t="s">
        <v>8</v>
      </c>
      <c r="U30" s="1561">
        <f t="shared" si="13"/>
        <v>100</v>
      </c>
      <c r="V30" s="1560" t="s">
        <v>8</v>
      </c>
      <c r="W30" s="1561">
        <f t="shared" si="14"/>
        <v>100</v>
      </c>
      <c r="X30" s="1554"/>
      <c r="Y30" s="3396"/>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396"/>
      <c r="Q31" s="1147" t="str">
        <f t="shared" si="11"/>
        <v>停车位面积</v>
      </c>
      <c r="R31" s="1555" t="s">
        <v>8</v>
      </c>
      <c r="S31" s="1556" t="e">
        <f t="shared" si="12"/>
        <v>#N/A</v>
      </c>
      <c r="T31" s="1555" t="s">
        <v>8</v>
      </c>
      <c r="U31" s="1556" t="e">
        <f t="shared" si="13"/>
        <v>#N/A</v>
      </c>
      <c r="V31" s="1555" t="s">
        <v>8</v>
      </c>
      <c r="W31" s="1556" t="e">
        <f t="shared" si="14"/>
        <v>#N/A</v>
      </c>
      <c r="X31" s="1557"/>
      <c r="Y31" s="3396"/>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396" t="s">
        <v>550</v>
      </c>
      <c r="Q32" s="1559" t="str">
        <f t="shared" si="11"/>
        <v>车位类型</v>
      </c>
      <c r="R32" s="1560" t="s">
        <v>8</v>
      </c>
      <c r="S32" s="1561">
        <f t="shared" si="12"/>
        <v>100</v>
      </c>
      <c r="T32" s="1560" t="s">
        <v>8</v>
      </c>
      <c r="U32" s="1561">
        <f t="shared" si="13"/>
        <v>100</v>
      </c>
      <c r="V32" s="1560" t="s">
        <v>8</v>
      </c>
      <c r="W32" s="1561">
        <f t="shared" si="14"/>
        <v>100</v>
      </c>
      <c r="X32" s="1554"/>
      <c r="Y32" s="3396"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396"/>
      <c r="Q33" s="1559" t="str">
        <f t="shared" si="11"/>
        <v>是否直接入户</v>
      </c>
      <c r="R33" s="1560" t="s">
        <v>8</v>
      </c>
      <c r="S33" s="1561">
        <f t="shared" si="12"/>
        <v>100</v>
      </c>
      <c r="T33" s="1560" t="s">
        <v>8</v>
      </c>
      <c r="U33" s="1561">
        <f t="shared" si="13"/>
        <v>100</v>
      </c>
      <c r="V33" s="1560" t="s">
        <v>8</v>
      </c>
      <c r="W33" s="1561">
        <f t="shared" si="14"/>
        <v>100</v>
      </c>
      <c r="X33" s="1554"/>
      <c r="Y33" s="3396"/>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396"/>
      <c r="Q34" s="1559">
        <f t="shared" si="11"/>
        <v>111</v>
      </c>
      <c r="R34" s="1560" t="s">
        <v>8</v>
      </c>
      <c r="S34" s="1561">
        <f t="shared" si="12"/>
        <v>100</v>
      </c>
      <c r="T34" s="1560" t="s">
        <v>8</v>
      </c>
      <c r="U34" s="1561">
        <f t="shared" si="13"/>
        <v>100</v>
      </c>
      <c r="V34" s="1560" t="s">
        <v>8</v>
      </c>
      <c r="W34" s="1561">
        <f t="shared" si="14"/>
        <v>100</v>
      </c>
      <c r="X34" s="1554"/>
      <c r="Y34" s="3396"/>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396"/>
      <c r="Q35" s="1591">
        <f t="shared" si="11"/>
        <v>111</v>
      </c>
      <c r="R35" s="1564" t="s">
        <v>8</v>
      </c>
      <c r="S35" s="1565">
        <f t="shared" si="12"/>
        <v>100</v>
      </c>
      <c r="T35" s="1564" t="s">
        <v>8</v>
      </c>
      <c r="U35" s="1565">
        <f t="shared" si="13"/>
        <v>100</v>
      </c>
      <c r="V35" s="1564" t="s">
        <v>8</v>
      </c>
      <c r="W35" s="1565">
        <f t="shared" si="14"/>
        <v>100</v>
      </c>
      <c r="X35" s="1566"/>
      <c r="Y35" s="3396"/>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396"/>
      <c r="Q36" s="1559">
        <f t="shared" si="11"/>
        <v>111</v>
      </c>
      <c r="R36" s="1560" t="s">
        <v>8</v>
      </c>
      <c r="S36" s="1561">
        <f t="shared" si="12"/>
        <v>100</v>
      </c>
      <c r="T36" s="1560" t="s">
        <v>8</v>
      </c>
      <c r="U36" s="1561">
        <f t="shared" si="13"/>
        <v>100</v>
      </c>
      <c r="V36" s="1560" t="s">
        <v>8</v>
      </c>
      <c r="W36" s="1561">
        <f t="shared" si="14"/>
        <v>100</v>
      </c>
      <c r="X36" s="1554"/>
      <c r="Y36" s="3396"/>
      <c r="Z36" s="1562">
        <f t="shared" si="15"/>
        <v>111</v>
      </c>
      <c r="AA36" s="1563">
        <f t="shared" si="3"/>
        <v>1</v>
      </c>
      <c r="AB36" s="1563">
        <f t="shared" si="4"/>
        <v>1</v>
      </c>
      <c r="AC36" s="1563">
        <f t="shared" si="5"/>
        <v>1</v>
      </c>
    </row>
    <row r="37" spans="1:29" ht="15">
      <c r="A37" s="1832" t="s">
        <v>2074</v>
      </c>
      <c r="B37" s="1833" t="s">
        <v>2075</v>
      </c>
      <c r="C37" s="2592" t="s">
        <v>1</v>
      </c>
      <c r="D37" s="2593"/>
      <c r="E37" s="2594"/>
      <c r="F37" s="2595"/>
      <c r="G37" s="2596"/>
      <c r="H37" s="2597"/>
      <c r="I37" s="2594"/>
      <c r="J37" s="2597"/>
      <c r="K37" s="1597"/>
      <c r="L37" s="2130"/>
      <c r="M37" s="2131"/>
      <c r="N37" s="2120"/>
      <c r="O37" s="2131"/>
      <c r="P37" s="3359" t="str">
        <f>A37</f>
        <v>成交单价</v>
      </c>
      <c r="Q37" s="3359"/>
      <c r="R37" s="3453">
        <f>E37</f>
        <v>0</v>
      </c>
      <c r="S37" s="3453"/>
      <c r="T37" s="3453">
        <f>G37</f>
        <v>0</v>
      </c>
      <c r="U37" s="3453"/>
      <c r="V37" s="3453">
        <f>I37</f>
        <v>0</v>
      </c>
      <c r="W37" s="3453"/>
      <c r="X37" s="1546"/>
      <c r="Y37" s="1568"/>
      <c r="Z37" s="1546"/>
      <c r="AA37" s="1546"/>
      <c r="AB37" s="1546"/>
      <c r="AC37" s="1546"/>
    </row>
    <row r="38" spans="1:29" ht="15.75" thickBot="1">
      <c r="A38" s="615" t="s">
        <v>2755</v>
      </c>
      <c r="B38" s="888"/>
      <c r="C38" s="2598" t="e">
        <f>R39</f>
        <v>#DIV/0!</v>
      </c>
      <c r="D38" s="2599"/>
      <c r="E38" s="2600" t="e">
        <f>R38</f>
        <v>#DIV/0!</v>
      </c>
      <c r="F38" s="2600"/>
      <c r="G38" s="2598" t="e">
        <f>T38</f>
        <v>#DIV/0!</v>
      </c>
      <c r="H38" s="2599"/>
      <c r="I38" s="2600" t="e">
        <f>V38</f>
        <v>#DIV/0!</v>
      </c>
      <c r="J38" s="2599"/>
      <c r="K38" s="1598"/>
      <c r="L38" s="2130"/>
      <c r="M38" s="2131"/>
      <c r="N38" s="2131"/>
      <c r="O38" s="2131"/>
      <c r="P38" s="3359" t="str">
        <f>A38</f>
        <v>比较价格（元/平方米）</v>
      </c>
      <c r="Q38" s="3359"/>
      <c r="R38" s="3453" t="e">
        <f>IF(F1="售价",ROUND(PRODUCT(R37,AA7:AA36),0),ROUND(PRODUCT(R37,AA7:AA36),1))</f>
        <v>#DIV/0!</v>
      </c>
      <c r="S38" s="3453"/>
      <c r="T38" s="3453" t="e">
        <f>IF(F1="售价",ROUND(PRODUCT(T37,AB7:AB36),0),ROUND(PRODUCT(T37,AB7:AB36),1))</f>
        <v>#DIV/0!</v>
      </c>
      <c r="U38" s="3453"/>
      <c r="V38" s="3453" t="e">
        <f>IF(F1="售价",ROUND(PRODUCT(V37,AC7:AC36),0),ROUND(PRODUCT(V37,AC7:AC36),1))</f>
        <v>#DIV/0!</v>
      </c>
      <c r="W38" s="3453"/>
      <c r="X38" s="1546"/>
      <c r="Y38" s="1546"/>
      <c r="Z38" s="1546"/>
      <c r="AA38" s="1546"/>
      <c r="AB38" s="1546"/>
      <c r="AC38" s="1546"/>
    </row>
    <row r="39" spans="1:29" ht="15.75" thickBot="1">
      <c r="A39" s="621" t="s">
        <v>2931</v>
      </c>
      <c r="B39" s="622"/>
      <c r="C39" s="2601" t="e">
        <f>R39</f>
        <v>#DIV/0!</v>
      </c>
      <c r="D39" s="2601"/>
      <c r="E39" s="2601"/>
      <c r="F39" s="2601"/>
      <c r="G39" s="2601"/>
      <c r="H39" s="2601"/>
      <c r="I39" s="2601"/>
      <c r="J39" s="2601"/>
      <c r="K39" s="1599"/>
      <c r="L39" s="2130"/>
      <c r="M39" s="2131"/>
      <c r="N39" s="2131"/>
      <c r="O39" s="2131"/>
      <c r="P39" s="3356" t="str">
        <f>A39</f>
        <v>估价对象XX用房的比较价格（楼面单价，元/平方米）</v>
      </c>
      <c r="Q39" s="3357"/>
      <c r="R39" s="3452" t="e">
        <f>IF(F1="售价",ROUND(AVERAGE(R38:V38),0),ROUND(AVERAGE(R38:V38),1))</f>
        <v>#DIV/0!</v>
      </c>
      <c r="S39" s="3452"/>
      <c r="T39" s="3452"/>
      <c r="U39" s="3452"/>
      <c r="V39" s="3452"/>
      <c r="W39" s="3452"/>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2020-4</v>
      </c>
      <c r="D48" s="2760">
        <f>EDATE(C48,-1)</f>
        <v>43891</v>
      </c>
      <c r="E48" s="2760">
        <f t="shared" ref="E48:O48" si="16">EDATE(D48,-1)</f>
        <v>43862</v>
      </c>
      <c r="F48" s="2760">
        <f t="shared" si="16"/>
        <v>43831</v>
      </c>
      <c r="G48" s="2760">
        <f t="shared" si="16"/>
        <v>43800</v>
      </c>
      <c r="H48" s="2760">
        <f t="shared" si="16"/>
        <v>43770</v>
      </c>
      <c r="I48" s="2760">
        <f t="shared" si="16"/>
        <v>43739</v>
      </c>
      <c r="J48" s="2760">
        <f t="shared" si="16"/>
        <v>43709</v>
      </c>
      <c r="K48" s="2760">
        <f t="shared" si="16"/>
        <v>43678</v>
      </c>
      <c r="L48" s="2760">
        <f t="shared" si="16"/>
        <v>43647</v>
      </c>
      <c r="M48" s="2760">
        <f t="shared" si="16"/>
        <v>43617</v>
      </c>
      <c r="N48" s="2760">
        <f t="shared" si="16"/>
        <v>43586</v>
      </c>
      <c r="O48" s="2760">
        <f t="shared" si="16"/>
        <v>43556</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2553</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2554</v>
      </c>
      <c r="C67" s="2563" t="s">
        <v>2555</v>
      </c>
      <c r="D67" s="2563" t="s">
        <v>2556</v>
      </c>
      <c r="E67" s="2563" t="s">
        <v>2557</v>
      </c>
      <c r="F67" s="2563" t="s">
        <v>2558</v>
      </c>
      <c r="G67" s="2563" t="s">
        <v>2559</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65" t="s">
        <v>798</v>
      </c>
      <c r="D4" s="3366"/>
      <c r="E4" s="3399" t="s">
        <v>799</v>
      </c>
      <c r="F4" s="3400"/>
      <c r="G4" s="3365" t="s">
        <v>800</v>
      </c>
      <c r="H4" s="3366"/>
      <c r="I4" s="3365" t="s">
        <v>801</v>
      </c>
      <c r="J4" s="3366"/>
      <c r="K4" s="514" t="s">
        <v>802</v>
      </c>
      <c r="L4" s="2119"/>
      <c r="M4" s="2120"/>
      <c r="N4" s="2120"/>
      <c r="O4" s="2120"/>
      <c r="P4" s="3367" t="s">
        <v>803</v>
      </c>
      <c r="Q4" s="3368"/>
      <c r="R4" s="3373" t="s">
        <v>799</v>
      </c>
      <c r="S4" s="3374"/>
      <c r="T4" s="3373" t="s">
        <v>800</v>
      </c>
      <c r="U4" s="3374"/>
      <c r="V4" s="3360" t="s">
        <v>801</v>
      </c>
      <c r="W4" s="3360"/>
      <c r="X4" s="1554"/>
      <c r="Y4" s="3373" t="s">
        <v>803</v>
      </c>
      <c r="Z4" s="3374"/>
      <c r="AA4" s="3362" t="s">
        <v>799</v>
      </c>
      <c r="AB4" s="3363" t="s">
        <v>800</v>
      </c>
      <c r="AC4" s="3362" t="s">
        <v>801</v>
      </c>
    </row>
    <row r="5" spans="1:29" ht="15">
      <c r="A5" s="515"/>
      <c r="B5" s="516"/>
      <c r="C5" s="3381" t="s">
        <v>2925</v>
      </c>
      <c r="D5" s="3382"/>
      <c r="E5" s="3401" t="s">
        <v>2926</v>
      </c>
      <c r="F5" s="3402"/>
      <c r="G5" s="3381" t="s">
        <v>2927</v>
      </c>
      <c r="H5" s="3382"/>
      <c r="I5" s="3381" t="s">
        <v>2928</v>
      </c>
      <c r="J5" s="3382"/>
      <c r="K5" s="514"/>
      <c r="L5" s="2119"/>
      <c r="M5" s="2120"/>
      <c r="N5" s="2120"/>
      <c r="O5" s="2120"/>
      <c r="P5" s="3369"/>
      <c r="Q5" s="3370"/>
      <c r="R5" s="3375"/>
      <c r="S5" s="3376"/>
      <c r="T5" s="3375"/>
      <c r="U5" s="3376"/>
      <c r="V5" s="3360"/>
      <c r="W5" s="3360"/>
      <c r="X5" s="1554"/>
      <c r="Y5" s="3375"/>
      <c r="Z5" s="3376"/>
      <c r="AA5" s="3363"/>
      <c r="AB5" s="3363"/>
      <c r="AC5" s="3363"/>
    </row>
    <row r="6" spans="1:29" ht="15.75" thickBot="1">
      <c r="A6" s="517"/>
      <c r="B6" s="518"/>
      <c r="C6" s="3379" t="s">
        <v>2929</v>
      </c>
      <c r="D6" s="3380"/>
      <c r="E6" s="3397" t="s">
        <v>2929</v>
      </c>
      <c r="F6" s="3398"/>
      <c r="G6" s="3379" t="s">
        <v>2929</v>
      </c>
      <c r="H6" s="3380"/>
      <c r="I6" s="3379" t="s">
        <v>2929</v>
      </c>
      <c r="J6" s="3380"/>
      <c r="K6" s="514" t="s">
        <v>528</v>
      </c>
      <c r="L6" s="2119"/>
      <c r="M6" s="2120"/>
      <c r="N6" s="2120"/>
      <c r="O6" s="2120"/>
      <c r="P6" s="3371"/>
      <c r="Q6" s="3372"/>
      <c r="R6" s="3375"/>
      <c r="S6" s="3376"/>
      <c r="T6" s="3377"/>
      <c r="U6" s="3378"/>
      <c r="V6" s="3360"/>
      <c r="W6" s="3360"/>
      <c r="X6" s="1554"/>
      <c r="Y6" s="3377"/>
      <c r="Z6" s="3378"/>
      <c r="AA6" s="3364"/>
      <c r="AB6" s="3364"/>
      <c r="AC6" s="3364"/>
    </row>
    <row r="7" spans="1:29" s="1216" customFormat="1" ht="15.75" thickBot="1">
      <c r="A7" s="2868"/>
      <c r="B7" s="2875" t="s">
        <v>529</v>
      </c>
      <c r="C7" s="519">
        <f>'数据-取费表'!B2</f>
        <v>43927</v>
      </c>
      <c r="D7" s="520">
        <v>100</v>
      </c>
      <c r="E7" s="521"/>
      <c r="F7" s="522">
        <f>SUMIF(46:46,YEAR(E7)&amp;"-"&amp;MONTH(E7),47:47)</f>
        <v>0</v>
      </c>
      <c r="G7" s="523"/>
      <c r="H7" s="520">
        <f>SUMIF(46:46,YEAR(G7)&amp;"-"&amp;MONTH(G7),47:47)</f>
        <v>0</v>
      </c>
      <c r="I7" s="523"/>
      <c r="J7" s="520">
        <f>SUMIF(46:46,YEAR(I7)&amp;"-"&amp;MONTH(I7),47:47)</f>
        <v>0</v>
      </c>
      <c r="K7" s="524"/>
      <c r="L7" s="2121"/>
      <c r="M7" s="2122"/>
      <c r="N7" s="2122"/>
      <c r="O7" s="2122"/>
      <c r="P7" s="3390" t="s">
        <v>530</v>
      </c>
      <c r="Q7" s="3392"/>
      <c r="R7" s="1555" t="s">
        <v>8</v>
      </c>
      <c r="S7" s="1556">
        <f t="shared" ref="S7:S14" si="0">F7</f>
        <v>0</v>
      </c>
      <c r="T7" s="1555" t="s">
        <v>8</v>
      </c>
      <c r="U7" s="1556">
        <f t="shared" ref="U7:U14" si="1">H7</f>
        <v>0</v>
      </c>
      <c r="V7" s="1555" t="s">
        <v>8</v>
      </c>
      <c r="W7" s="1556">
        <f t="shared" ref="W7:W14" si="2">J7</f>
        <v>0</v>
      </c>
      <c r="X7" s="1557"/>
      <c r="Y7" s="3390" t="s">
        <v>530</v>
      </c>
      <c r="Z7" s="3391"/>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390" t="s">
        <v>533</v>
      </c>
      <c r="Q8" s="3391"/>
      <c r="R8" s="1555" t="s">
        <v>8</v>
      </c>
      <c r="S8" s="1556">
        <f t="shared" si="0"/>
        <v>0</v>
      </c>
      <c r="T8" s="1555" t="s">
        <v>8</v>
      </c>
      <c r="U8" s="1556">
        <f t="shared" si="1"/>
        <v>0</v>
      </c>
      <c r="V8" s="1555" t="s">
        <v>8</v>
      </c>
      <c r="W8" s="1556">
        <f t="shared" si="2"/>
        <v>0</v>
      </c>
      <c r="X8" s="1557"/>
      <c r="Y8" s="3390" t="s">
        <v>533</v>
      </c>
      <c r="Z8" s="3391"/>
      <c r="AA8" s="1558" t="e">
        <f t="shared" ref="AA8:AA34" si="3">D8/F8</f>
        <v>#DIV/0!</v>
      </c>
      <c r="AB8" s="1558" t="e">
        <f t="shared" ref="AB8:AB34" si="4">D8/H8</f>
        <v>#DIV/0!</v>
      </c>
      <c r="AC8" s="1558" t="e">
        <f t="shared" ref="AC8:AC34" si="5">D8/J8</f>
        <v>#DIV/0!</v>
      </c>
    </row>
    <row r="9" spans="1:29" s="1216" customFormat="1" ht="15">
      <c r="A9" s="2870"/>
      <c r="B9" s="2877" t="s">
        <v>2751</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59" t="s">
        <v>535</v>
      </c>
      <c r="Q9" s="1147" t="str">
        <f t="shared" ref="Q9:Q14" si="6">B9</f>
        <v>用途</v>
      </c>
      <c r="R9" s="1555" t="s">
        <v>8</v>
      </c>
      <c r="S9" s="1556">
        <f t="shared" si="0"/>
        <v>100</v>
      </c>
      <c r="T9" s="1555" t="s">
        <v>8</v>
      </c>
      <c r="U9" s="1556">
        <f t="shared" si="1"/>
        <v>100</v>
      </c>
      <c r="V9" s="1555" t="s">
        <v>8</v>
      </c>
      <c r="W9" s="1556">
        <f t="shared" si="2"/>
        <v>100</v>
      </c>
      <c r="X9" s="1557"/>
      <c r="Y9" s="3305" t="s">
        <v>536</v>
      </c>
      <c r="Z9" s="1146" t="str">
        <f t="shared" ref="Z9:Z14" si="7">Q9</f>
        <v>用途</v>
      </c>
      <c r="AA9" s="1558">
        <f t="shared" si="3"/>
        <v>1</v>
      </c>
      <c r="AB9" s="1558">
        <f t="shared" si="4"/>
        <v>1</v>
      </c>
      <c r="AC9" s="1558">
        <f t="shared" si="5"/>
        <v>1</v>
      </c>
    </row>
    <row r="10" spans="1:29" s="1334" customFormat="1" ht="27">
      <c r="A10" s="2871"/>
      <c r="B10" s="2876" t="s">
        <v>2752</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59"/>
      <c r="Q10" s="1147" t="str">
        <f t="shared" si="6"/>
        <v>土地使用年限（年）</v>
      </c>
      <c r="R10" s="1555" t="s">
        <v>8</v>
      </c>
      <c r="S10" s="1556">
        <f t="shared" si="0"/>
        <v>100</v>
      </c>
      <c r="T10" s="1555" t="s">
        <v>8</v>
      </c>
      <c r="U10" s="1556">
        <f t="shared" si="1"/>
        <v>100</v>
      </c>
      <c r="V10" s="1555" t="s">
        <v>8</v>
      </c>
      <c r="W10" s="1556">
        <f t="shared" si="2"/>
        <v>100</v>
      </c>
      <c r="X10" s="1557"/>
      <c r="Y10" s="3305"/>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59"/>
      <c r="Q11" s="1147">
        <f t="shared" si="6"/>
        <v>111</v>
      </c>
      <c r="R11" s="1555" t="s">
        <v>8</v>
      </c>
      <c r="S11" s="1556">
        <f t="shared" si="0"/>
        <v>100</v>
      </c>
      <c r="T11" s="1555" t="s">
        <v>8</v>
      </c>
      <c r="U11" s="1556">
        <f t="shared" si="1"/>
        <v>100</v>
      </c>
      <c r="V11" s="1555" t="s">
        <v>8</v>
      </c>
      <c r="W11" s="1556">
        <f t="shared" si="2"/>
        <v>100</v>
      </c>
      <c r="X11" s="1557"/>
      <c r="Y11" s="3305"/>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59"/>
      <c r="Q12" s="1147">
        <f t="shared" si="6"/>
        <v>111</v>
      </c>
      <c r="R12" s="1555" t="s">
        <v>8</v>
      </c>
      <c r="S12" s="1556">
        <f t="shared" si="0"/>
        <v>100</v>
      </c>
      <c r="T12" s="1555" t="s">
        <v>8</v>
      </c>
      <c r="U12" s="1556">
        <f t="shared" si="1"/>
        <v>100</v>
      </c>
      <c r="V12" s="1555" t="s">
        <v>8</v>
      </c>
      <c r="W12" s="1556">
        <f t="shared" si="2"/>
        <v>100</v>
      </c>
      <c r="X12" s="1557"/>
      <c r="Y12" s="3305"/>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59"/>
      <c r="Q13" s="1147">
        <f t="shared" si="6"/>
        <v>111</v>
      </c>
      <c r="R13" s="1555" t="s">
        <v>8</v>
      </c>
      <c r="S13" s="1556">
        <f t="shared" si="0"/>
        <v>100</v>
      </c>
      <c r="T13" s="1555" t="s">
        <v>8</v>
      </c>
      <c r="U13" s="1556">
        <f t="shared" si="1"/>
        <v>100</v>
      </c>
      <c r="V13" s="1555" t="s">
        <v>8</v>
      </c>
      <c r="W13" s="1556">
        <f t="shared" si="2"/>
        <v>100</v>
      </c>
      <c r="X13" s="1557"/>
      <c r="Y13" s="3305"/>
      <c r="Z13" s="1146">
        <f t="shared" si="7"/>
        <v>111</v>
      </c>
      <c r="AA13" s="1558">
        <f t="shared" si="3"/>
        <v>1</v>
      </c>
      <c r="AB13" s="1558">
        <f t="shared" si="4"/>
        <v>1</v>
      </c>
      <c r="AC13" s="1558">
        <f t="shared" si="5"/>
        <v>1</v>
      </c>
    </row>
    <row r="14" spans="1:29" ht="85.5">
      <c r="A14" s="2866" t="s">
        <v>2749</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393" t="s">
        <v>540</v>
      </c>
      <c r="Q14" s="1559" t="str">
        <f t="shared" si="6"/>
        <v>交通便捷度</v>
      </c>
      <c r="R14" s="1560" t="s">
        <v>8</v>
      </c>
      <c r="S14" s="1561">
        <f t="shared" si="0"/>
        <v>100</v>
      </c>
      <c r="T14" s="1560" t="s">
        <v>8</v>
      </c>
      <c r="U14" s="1561">
        <f t="shared" si="1"/>
        <v>100</v>
      </c>
      <c r="V14" s="1560" t="s">
        <v>8</v>
      </c>
      <c r="W14" s="1561">
        <f t="shared" si="2"/>
        <v>100</v>
      </c>
      <c r="X14" s="1554"/>
      <c r="Y14" s="3393"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394"/>
      <c r="Q15" s="1559"/>
      <c r="R15" s="1560"/>
      <c r="S15" s="1561"/>
      <c r="T15" s="1560"/>
      <c r="U15" s="1561"/>
      <c r="V15" s="1560"/>
      <c r="W15" s="1561"/>
      <c r="X15" s="1554"/>
      <c r="Y15" s="3394"/>
      <c r="Z15" s="1562"/>
      <c r="AA15" s="1563">
        <v>1</v>
      </c>
      <c r="AB15" s="1563">
        <v>1</v>
      </c>
      <c r="AC15" s="1563">
        <v>1</v>
      </c>
    </row>
    <row r="16" spans="1:29" ht="42.75">
      <c r="A16" s="532"/>
      <c r="B16" s="2568" t="s">
        <v>2542</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394"/>
      <c r="Q16" s="1559" t="str">
        <f>B16</f>
        <v>公共配套设施</v>
      </c>
      <c r="R16" s="1560" t="s">
        <v>8</v>
      </c>
      <c r="S16" s="1561">
        <f>F16</f>
        <v>100</v>
      </c>
      <c r="T16" s="1560" t="s">
        <v>8</v>
      </c>
      <c r="U16" s="1561">
        <f>H16</f>
        <v>100</v>
      </c>
      <c r="V16" s="1560" t="s">
        <v>8</v>
      </c>
      <c r="W16" s="1561">
        <f>J16</f>
        <v>100</v>
      </c>
      <c r="X16" s="1554"/>
      <c r="Y16" s="3394"/>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394"/>
      <c r="Q17" s="1559"/>
      <c r="R17" s="1560"/>
      <c r="S17" s="1561"/>
      <c r="T17" s="1560"/>
      <c r="U17" s="1561"/>
      <c r="V17" s="1560"/>
      <c r="W17" s="1561"/>
      <c r="X17" s="1554"/>
      <c r="Y17" s="3394"/>
      <c r="Z17" s="1562"/>
      <c r="AA17" s="1563">
        <v>1</v>
      </c>
      <c r="AB17" s="1563">
        <v>1</v>
      </c>
      <c r="AC17" s="1563">
        <v>1</v>
      </c>
    </row>
    <row r="18" spans="1:29" ht="28.5">
      <c r="A18" s="532"/>
      <c r="B18" s="2556" t="s">
        <v>2554</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394"/>
      <c r="Q18" s="2544" t="str">
        <f>B18</f>
        <v>基础设施水平</v>
      </c>
      <c r="R18" s="1560" t="s">
        <v>8</v>
      </c>
      <c r="S18" s="1561">
        <f>F18</f>
        <v>100</v>
      </c>
      <c r="T18" s="1560" t="s">
        <v>8</v>
      </c>
      <c r="U18" s="1561">
        <f>H18</f>
        <v>100</v>
      </c>
      <c r="V18" s="1560" t="s">
        <v>8</v>
      </c>
      <c r="W18" s="1561">
        <f>J18</f>
        <v>100</v>
      </c>
      <c r="X18" s="2546"/>
      <c r="Y18" s="3394"/>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394"/>
      <c r="Q19" s="2544"/>
      <c r="R19" s="1560"/>
      <c r="S19" s="1561"/>
      <c r="T19" s="1560"/>
      <c r="U19" s="1561"/>
      <c r="V19" s="1560"/>
      <c r="W19" s="1561"/>
      <c r="X19" s="2546"/>
      <c r="Y19" s="3394"/>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394"/>
      <c r="Q20" s="1559" t="str">
        <f>B20</f>
        <v>自然及人文环境</v>
      </c>
      <c r="R20" s="1560" t="s">
        <v>8</v>
      </c>
      <c r="S20" s="1561">
        <f>F20</f>
        <v>100</v>
      </c>
      <c r="T20" s="1560" t="s">
        <v>8</v>
      </c>
      <c r="U20" s="1561">
        <f>H20</f>
        <v>100</v>
      </c>
      <c r="V20" s="1560" t="s">
        <v>8</v>
      </c>
      <c r="W20" s="1561">
        <f>J20</f>
        <v>100</v>
      </c>
      <c r="X20" s="1554"/>
      <c r="Y20" s="3394"/>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394"/>
      <c r="Q21" s="1559"/>
      <c r="R21" s="1560"/>
      <c r="S21" s="1561"/>
      <c r="T21" s="1560"/>
      <c r="U21" s="1561"/>
      <c r="V21" s="1560"/>
      <c r="W21" s="1561"/>
      <c r="X21" s="1554"/>
      <c r="Y21" s="3394"/>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394"/>
      <c r="Q22" s="1559" t="str">
        <f>B22</f>
        <v>楼层</v>
      </c>
      <c r="R22" s="1560" t="s">
        <v>8</v>
      </c>
      <c r="S22" s="1561">
        <f>F22</f>
        <v>100</v>
      </c>
      <c r="T22" s="1560" t="s">
        <v>8</v>
      </c>
      <c r="U22" s="1561">
        <f>H22</f>
        <v>100</v>
      </c>
      <c r="V22" s="1560" t="s">
        <v>8</v>
      </c>
      <c r="W22" s="1561">
        <f>J22</f>
        <v>100</v>
      </c>
      <c r="X22" s="1554"/>
      <c r="Y22" s="3394"/>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394"/>
      <c r="Q23" s="1559">
        <f>B23</f>
        <v>111</v>
      </c>
      <c r="R23" s="1560" t="s">
        <v>8</v>
      </c>
      <c r="S23" s="1561">
        <f>F23</f>
        <v>100</v>
      </c>
      <c r="T23" s="1560" t="s">
        <v>8</v>
      </c>
      <c r="U23" s="1561">
        <f>H23</f>
        <v>100</v>
      </c>
      <c r="V23" s="1560" t="s">
        <v>8</v>
      </c>
      <c r="W23" s="1561">
        <f>J23</f>
        <v>100</v>
      </c>
      <c r="X23" s="1554"/>
      <c r="Y23" s="3394"/>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394"/>
      <c r="Q24" s="1559">
        <f t="shared" ref="Q24:Q34" si="11">B24</f>
        <v>111</v>
      </c>
      <c r="R24" s="1560" t="s">
        <v>8</v>
      </c>
      <c r="S24" s="1561">
        <f>F24</f>
        <v>100</v>
      </c>
      <c r="T24" s="1560" t="s">
        <v>8</v>
      </c>
      <c r="U24" s="1561">
        <f>H24</f>
        <v>100</v>
      </c>
      <c r="V24" s="1560" t="s">
        <v>8</v>
      </c>
      <c r="W24" s="1561">
        <f>J24</f>
        <v>100</v>
      </c>
      <c r="X24" s="1554"/>
      <c r="Y24" s="3394"/>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394"/>
      <c r="Q25" s="1147">
        <f t="shared" si="11"/>
        <v>111</v>
      </c>
      <c r="R25" s="1555" t="s">
        <v>8</v>
      </c>
      <c r="S25" s="1556">
        <f>F25</f>
        <v>100</v>
      </c>
      <c r="T25" s="1555" t="s">
        <v>8</v>
      </c>
      <c r="U25" s="1556">
        <f>H25</f>
        <v>100</v>
      </c>
      <c r="V25" s="1555" t="s">
        <v>8</v>
      </c>
      <c r="W25" s="1556">
        <f>J25</f>
        <v>100</v>
      </c>
      <c r="X25" s="1557"/>
      <c r="Y25" s="3394"/>
      <c r="Z25" s="1146">
        <f>Q25</f>
        <v>111</v>
      </c>
      <c r="AA25" s="1563">
        <f>D25/F25</f>
        <v>1</v>
      </c>
      <c r="AB25" s="1563">
        <f>D25/H25</f>
        <v>1</v>
      </c>
      <c r="AC25" s="1563">
        <f>D25/J25</f>
        <v>1</v>
      </c>
    </row>
    <row r="26" spans="1:29" ht="15">
      <c r="A26" s="2863" t="s">
        <v>2750</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395"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396"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396"/>
      <c r="Q27" s="1591" t="str">
        <f t="shared" si="11"/>
        <v>成新率</v>
      </c>
      <c r="R27" s="1564" t="s">
        <v>8</v>
      </c>
      <c r="S27" s="1565" t="e">
        <f t="shared" si="12"/>
        <v>#N/A</v>
      </c>
      <c r="T27" s="1564" t="s">
        <v>8</v>
      </c>
      <c r="U27" s="1565" t="e">
        <f t="shared" si="13"/>
        <v>#N/A</v>
      </c>
      <c r="V27" s="1564" t="s">
        <v>8</v>
      </c>
      <c r="W27" s="1565" t="e">
        <f t="shared" si="14"/>
        <v>#N/A</v>
      </c>
      <c r="X27" s="1566"/>
      <c r="Y27" s="3396"/>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396"/>
      <c r="Q28" s="1559" t="str">
        <f t="shared" si="11"/>
        <v>物业等级</v>
      </c>
      <c r="R28" s="1560" t="s">
        <v>8</v>
      </c>
      <c r="S28" s="1561">
        <f t="shared" si="12"/>
        <v>100</v>
      </c>
      <c r="T28" s="1560" t="s">
        <v>8</v>
      </c>
      <c r="U28" s="1561">
        <f t="shared" si="13"/>
        <v>100</v>
      </c>
      <c r="V28" s="1560" t="s">
        <v>8</v>
      </c>
      <c r="W28" s="1561">
        <f t="shared" si="14"/>
        <v>100</v>
      </c>
      <c r="X28" s="1554"/>
      <c r="Y28" s="3396"/>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396"/>
      <c r="Q29" s="1559" t="str">
        <f t="shared" si="11"/>
        <v>有无电梯</v>
      </c>
      <c r="R29" s="1560" t="s">
        <v>8</v>
      </c>
      <c r="S29" s="1561">
        <f t="shared" si="12"/>
        <v>100</v>
      </c>
      <c r="T29" s="1560" t="s">
        <v>8</v>
      </c>
      <c r="U29" s="1561">
        <f t="shared" si="13"/>
        <v>100</v>
      </c>
      <c r="V29" s="1560" t="s">
        <v>8</v>
      </c>
      <c r="W29" s="1561">
        <f t="shared" si="14"/>
        <v>100</v>
      </c>
      <c r="X29" s="1554"/>
      <c r="Y29" s="3396"/>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396"/>
      <c r="Q30" s="1559" t="str">
        <f t="shared" si="11"/>
        <v>建筑面积</v>
      </c>
      <c r="R30" s="1560" t="s">
        <v>8</v>
      </c>
      <c r="S30" s="1561" t="e">
        <f t="shared" si="12"/>
        <v>#N/A</v>
      </c>
      <c r="T30" s="1560" t="s">
        <v>8</v>
      </c>
      <c r="U30" s="1561" t="e">
        <f t="shared" si="13"/>
        <v>#N/A</v>
      </c>
      <c r="V30" s="1560" t="s">
        <v>8</v>
      </c>
      <c r="W30" s="1561" t="e">
        <f t="shared" si="14"/>
        <v>#N/A</v>
      </c>
      <c r="X30" s="1554"/>
      <c r="Y30" s="3396"/>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396"/>
      <c r="Q31" s="1147" t="str">
        <f t="shared" si="11"/>
        <v>是否封闭</v>
      </c>
      <c r="R31" s="1555" t="s">
        <v>8</v>
      </c>
      <c r="S31" s="1556">
        <f t="shared" si="12"/>
        <v>100</v>
      </c>
      <c r="T31" s="1555" t="s">
        <v>8</v>
      </c>
      <c r="U31" s="1556">
        <f t="shared" si="13"/>
        <v>100</v>
      </c>
      <c r="V31" s="1555" t="s">
        <v>8</v>
      </c>
      <c r="W31" s="1556">
        <f t="shared" si="14"/>
        <v>100</v>
      </c>
      <c r="X31" s="1557"/>
      <c r="Y31" s="3396"/>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396" t="s">
        <v>550</v>
      </c>
      <c r="Q32" s="1559">
        <f t="shared" si="11"/>
        <v>111</v>
      </c>
      <c r="R32" s="1560" t="s">
        <v>8</v>
      </c>
      <c r="S32" s="1561">
        <f t="shared" si="12"/>
        <v>100</v>
      </c>
      <c r="T32" s="1560" t="s">
        <v>8</v>
      </c>
      <c r="U32" s="1561">
        <f t="shared" si="13"/>
        <v>100</v>
      </c>
      <c r="V32" s="1560" t="s">
        <v>8</v>
      </c>
      <c r="W32" s="1561">
        <f t="shared" si="14"/>
        <v>100</v>
      </c>
      <c r="X32" s="1554"/>
      <c r="Y32" s="3396"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396"/>
      <c r="Q33" s="1559">
        <f t="shared" si="11"/>
        <v>111</v>
      </c>
      <c r="R33" s="1560" t="s">
        <v>8</v>
      </c>
      <c r="S33" s="1561">
        <f t="shared" si="12"/>
        <v>100</v>
      </c>
      <c r="T33" s="1560" t="s">
        <v>8</v>
      </c>
      <c r="U33" s="1561">
        <f t="shared" si="13"/>
        <v>100</v>
      </c>
      <c r="V33" s="1560" t="s">
        <v>8</v>
      </c>
      <c r="W33" s="1561">
        <f t="shared" si="14"/>
        <v>100</v>
      </c>
      <c r="X33" s="1554"/>
      <c r="Y33" s="3396"/>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396"/>
      <c r="Q34" s="1559">
        <f t="shared" si="11"/>
        <v>111</v>
      </c>
      <c r="R34" s="1560" t="s">
        <v>8</v>
      </c>
      <c r="S34" s="1561">
        <f t="shared" si="12"/>
        <v>100</v>
      </c>
      <c r="T34" s="1560" t="s">
        <v>8</v>
      </c>
      <c r="U34" s="1561">
        <f t="shared" si="13"/>
        <v>100</v>
      </c>
      <c r="V34" s="1560" t="s">
        <v>8</v>
      </c>
      <c r="W34" s="1561">
        <f t="shared" si="14"/>
        <v>100</v>
      </c>
      <c r="X34" s="1554"/>
      <c r="Y34" s="3396"/>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59" t="str">
        <f>A35</f>
        <v>成交单价（元/平方米）</v>
      </c>
      <c r="Q35" s="3359"/>
      <c r="R35" s="3453">
        <f>E35</f>
        <v>0</v>
      </c>
      <c r="S35" s="3453"/>
      <c r="T35" s="3453">
        <f>G35</f>
        <v>0</v>
      </c>
      <c r="U35" s="3453"/>
      <c r="V35" s="3453">
        <f>I35</f>
        <v>0</v>
      </c>
      <c r="W35" s="3453"/>
      <c r="X35" s="1546"/>
      <c r="Y35" s="1568"/>
      <c r="Z35" s="1546"/>
      <c r="AA35" s="1546"/>
      <c r="AB35" s="1546"/>
      <c r="AC35" s="1546"/>
    </row>
    <row r="36" spans="1:29" ht="15.75" thickBot="1">
      <c r="A36" s="615" t="s">
        <v>2755</v>
      </c>
      <c r="B36" s="888"/>
      <c r="C36" s="2598" t="e">
        <f>R37</f>
        <v>#DIV/0!</v>
      </c>
      <c r="D36" s="2599"/>
      <c r="E36" s="2600" t="e">
        <f>R36</f>
        <v>#DIV/0!</v>
      </c>
      <c r="F36" s="2600"/>
      <c r="G36" s="2598" t="e">
        <f>T36</f>
        <v>#DIV/0!</v>
      </c>
      <c r="H36" s="2599"/>
      <c r="I36" s="2600" t="e">
        <f>V36</f>
        <v>#DIV/0!</v>
      </c>
      <c r="J36" s="2599"/>
      <c r="K36" s="1598"/>
      <c r="L36" s="2130"/>
      <c r="M36" s="2131"/>
      <c r="N36" s="2120"/>
      <c r="O36" s="2131"/>
      <c r="P36" s="3359" t="str">
        <f>A36</f>
        <v>比较价格（元/平方米）</v>
      </c>
      <c r="Q36" s="3359"/>
      <c r="R36" s="3453" t="e">
        <f>IF(F1="售价",ROUND(PRODUCT(R35,AA7:AA34),0),ROUND(PRODUCT(R35,AA7:AA34),1))</f>
        <v>#DIV/0!</v>
      </c>
      <c r="S36" s="3453"/>
      <c r="T36" s="3453" t="e">
        <f>IF(F1="售价",ROUND(PRODUCT(T35,AB7:AB34),0),ROUND(PRODUCT(T35,AB7:AB34),1))</f>
        <v>#DIV/0!</v>
      </c>
      <c r="U36" s="3453"/>
      <c r="V36" s="3453" t="e">
        <f>IF(F1="售价",ROUND(PRODUCT(V35,AC7:AC34),0),ROUND(PRODUCT(V35,AC7:AC34),1))</f>
        <v>#DIV/0!</v>
      </c>
      <c r="W36" s="3453"/>
      <c r="X36" s="1546"/>
      <c r="Y36" s="1546"/>
      <c r="Z36" s="1546"/>
      <c r="AA36" s="1546"/>
      <c r="AB36" s="1546"/>
      <c r="AC36" s="1546"/>
    </row>
    <row r="37" spans="1:29" ht="15.75" thickBot="1">
      <c r="A37" s="621" t="s">
        <v>2931</v>
      </c>
      <c r="B37" s="622"/>
      <c r="C37" s="2601" t="e">
        <f>R37</f>
        <v>#DIV/0!</v>
      </c>
      <c r="D37" s="2601"/>
      <c r="E37" s="2601"/>
      <c r="F37" s="2601"/>
      <c r="G37" s="2601"/>
      <c r="H37" s="2601"/>
      <c r="I37" s="2601"/>
      <c r="J37" s="2601"/>
      <c r="K37" s="1599"/>
      <c r="L37" s="2130"/>
      <c r="M37" s="2131"/>
      <c r="N37" s="2131"/>
      <c r="O37" s="2131"/>
      <c r="P37" s="3356" t="str">
        <f>A37</f>
        <v>估价对象XX用房的比较价格（楼面单价，元/平方米）</v>
      </c>
      <c r="Q37" s="3357"/>
      <c r="R37" s="3452" t="e">
        <f>IF(F1="售价",ROUND(AVERAGE(R36:V36),0),ROUND(AVERAGE(R36:V36),1))</f>
        <v>#DIV/0!</v>
      </c>
      <c r="S37" s="3452"/>
      <c r="T37" s="3452"/>
      <c r="U37" s="3452"/>
      <c r="V37" s="3452"/>
      <c r="W37" s="3452"/>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2020-4</v>
      </c>
      <c r="D46" s="2760">
        <f>EDATE(C46,-1)</f>
        <v>43891</v>
      </c>
      <c r="E46" s="2760">
        <f t="shared" ref="E46:O46" si="16">EDATE(D46,-1)</f>
        <v>43862</v>
      </c>
      <c r="F46" s="2760">
        <f t="shared" si="16"/>
        <v>43831</v>
      </c>
      <c r="G46" s="2760">
        <f t="shared" si="16"/>
        <v>43800</v>
      </c>
      <c r="H46" s="2760">
        <f t="shared" si="16"/>
        <v>43770</v>
      </c>
      <c r="I46" s="2760">
        <f t="shared" si="16"/>
        <v>43739</v>
      </c>
      <c r="J46" s="2760">
        <f t="shared" si="16"/>
        <v>43709</v>
      </c>
      <c r="K46" s="2760">
        <f t="shared" si="16"/>
        <v>43678</v>
      </c>
      <c r="L46" s="2760">
        <f t="shared" si="16"/>
        <v>43647</v>
      </c>
      <c r="M46" s="2760">
        <f t="shared" si="16"/>
        <v>43617</v>
      </c>
      <c r="N46" s="2760">
        <f t="shared" si="16"/>
        <v>43586</v>
      </c>
      <c r="O46" s="2760">
        <f t="shared" si="16"/>
        <v>43556</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2553</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2554</v>
      </c>
      <c r="C65" s="2563" t="s">
        <v>2555</v>
      </c>
      <c r="D65" s="2563" t="s">
        <v>2556</v>
      </c>
      <c r="E65" s="2563" t="s">
        <v>2557</v>
      </c>
      <c r="F65" s="2563" t="s">
        <v>2558</v>
      </c>
      <c r="G65" s="2563" t="s">
        <v>2559</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L16" sqref="L16"/>
    </sheetView>
  </sheetViews>
  <sheetFormatPr defaultColWidth="9" defaultRowHeight="12.75"/>
  <cols>
    <col min="1" max="1" width="11.5" style="1246" customWidth="1"/>
    <col min="2" max="2" width="9.1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2300</v>
      </c>
      <c r="C1" s="3487" t="s">
        <v>2301</v>
      </c>
      <c r="D1" s="3488"/>
      <c r="E1" s="3488"/>
      <c r="F1" s="3488"/>
      <c r="G1" s="3488"/>
      <c r="H1" s="3488"/>
      <c r="I1" s="3488"/>
      <c r="J1" s="3488"/>
      <c r="K1" s="3488"/>
      <c r="L1" s="3488"/>
      <c r="M1" s="3488"/>
      <c r="N1" s="3488"/>
      <c r="O1" s="3488"/>
      <c r="P1" s="3488"/>
      <c r="Q1" s="3488"/>
      <c r="R1" s="3488"/>
      <c r="S1" s="3489"/>
      <c r="T1" s="2220" t="s">
        <v>2302</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2303</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2924</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2923</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2922</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2935</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2921</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2920</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2304</v>
      </c>
      <c r="B17" s="2264" t="s">
        <v>2305</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84" t="s">
        <v>20</v>
      </c>
      <c r="D22" s="3485"/>
      <c r="E22" s="3485"/>
      <c r="F22" s="3485"/>
      <c r="G22" s="3485"/>
      <c r="H22" s="3485"/>
      <c r="I22" s="3485"/>
      <c r="J22" s="3485"/>
      <c r="K22" s="3485"/>
      <c r="L22" s="3485"/>
      <c r="M22" s="3485"/>
      <c r="N22" s="3485"/>
      <c r="O22" s="3485"/>
      <c r="P22" s="3485"/>
      <c r="Q22" s="3486"/>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1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875" style="2903" customWidth="1"/>
    <col min="14" max="256" width="9" style="2903"/>
    <col min="257" max="257" width="4.875" style="2895" customWidth="1"/>
    <col min="258" max="258" width="13.1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875" style="2895" customWidth="1"/>
    <col min="270" max="512" width="9" style="2895"/>
    <col min="513" max="513" width="4.875" style="2895" customWidth="1"/>
    <col min="514" max="514" width="13.1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875" style="2895" customWidth="1"/>
    <col min="526" max="768" width="9" style="2895"/>
    <col min="769" max="769" width="4.875" style="2895" customWidth="1"/>
    <col min="770" max="770" width="13.1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875" style="2895" customWidth="1"/>
    <col min="782" max="1024" width="9" style="2895"/>
    <col min="1025" max="1025" width="4.875" style="2895" customWidth="1"/>
    <col min="1026" max="1026" width="13.1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875" style="2895" customWidth="1"/>
    <col min="1038" max="1280" width="9" style="2895"/>
    <col min="1281" max="1281" width="4.875" style="2895" customWidth="1"/>
    <col min="1282" max="1282" width="13.1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875" style="2895" customWidth="1"/>
    <col min="1294" max="1536" width="9" style="2895"/>
    <col min="1537" max="1537" width="4.875" style="2895" customWidth="1"/>
    <col min="1538" max="1538" width="13.1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875" style="2895" customWidth="1"/>
    <col min="1550" max="1792" width="9" style="2895"/>
    <col min="1793" max="1793" width="4.875" style="2895" customWidth="1"/>
    <col min="1794" max="1794" width="13.1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875" style="2895" customWidth="1"/>
    <col min="1806" max="2048" width="9" style="2895"/>
    <col min="2049" max="2049" width="4.875" style="2895" customWidth="1"/>
    <col min="2050" max="2050" width="13.1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875" style="2895" customWidth="1"/>
    <col min="2062" max="2304" width="9" style="2895"/>
    <col min="2305" max="2305" width="4.875" style="2895" customWidth="1"/>
    <col min="2306" max="2306" width="13.1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875" style="2895" customWidth="1"/>
    <col min="2318" max="2560" width="9" style="2895"/>
    <col min="2561" max="2561" width="4.875" style="2895" customWidth="1"/>
    <col min="2562" max="2562" width="13.1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875" style="2895" customWidth="1"/>
    <col min="2574" max="2816" width="9" style="2895"/>
    <col min="2817" max="2817" width="4.875" style="2895" customWidth="1"/>
    <col min="2818" max="2818" width="13.1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875" style="2895" customWidth="1"/>
    <col min="2830" max="3072" width="9" style="2895"/>
    <col min="3073" max="3073" width="4.875" style="2895" customWidth="1"/>
    <col min="3074" max="3074" width="13.1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875" style="2895" customWidth="1"/>
    <col min="3086" max="3328" width="9" style="2895"/>
    <col min="3329" max="3329" width="4.875" style="2895" customWidth="1"/>
    <col min="3330" max="3330" width="13.1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875" style="2895" customWidth="1"/>
    <col min="3342" max="3584" width="9" style="2895"/>
    <col min="3585" max="3585" width="4.875" style="2895" customWidth="1"/>
    <col min="3586" max="3586" width="13.1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875" style="2895" customWidth="1"/>
    <col min="3598" max="3840" width="9" style="2895"/>
    <col min="3841" max="3841" width="4.875" style="2895" customWidth="1"/>
    <col min="3842" max="3842" width="13.1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875" style="2895" customWidth="1"/>
    <col min="3854" max="4096" width="9" style="2895"/>
    <col min="4097" max="4097" width="4.875" style="2895" customWidth="1"/>
    <col min="4098" max="4098" width="13.1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875" style="2895" customWidth="1"/>
    <col min="4110" max="4352" width="9" style="2895"/>
    <col min="4353" max="4353" width="4.875" style="2895" customWidth="1"/>
    <col min="4354" max="4354" width="13.1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875" style="2895" customWidth="1"/>
    <col min="4366" max="4608" width="9" style="2895"/>
    <col min="4609" max="4609" width="4.875" style="2895" customWidth="1"/>
    <col min="4610" max="4610" width="13.1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875" style="2895" customWidth="1"/>
    <col min="4622" max="4864" width="9" style="2895"/>
    <col min="4865" max="4865" width="4.875" style="2895" customWidth="1"/>
    <col min="4866" max="4866" width="13.1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875" style="2895" customWidth="1"/>
    <col min="4878" max="5120" width="9" style="2895"/>
    <col min="5121" max="5121" width="4.875" style="2895" customWidth="1"/>
    <col min="5122" max="5122" width="13.1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875" style="2895" customWidth="1"/>
    <col min="5134" max="5376" width="9" style="2895"/>
    <col min="5377" max="5377" width="4.875" style="2895" customWidth="1"/>
    <col min="5378" max="5378" width="13.1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875" style="2895" customWidth="1"/>
    <col min="5390" max="5632" width="9" style="2895"/>
    <col min="5633" max="5633" width="4.875" style="2895" customWidth="1"/>
    <col min="5634" max="5634" width="13.1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875" style="2895" customWidth="1"/>
    <col min="5646" max="5888" width="9" style="2895"/>
    <col min="5889" max="5889" width="4.875" style="2895" customWidth="1"/>
    <col min="5890" max="5890" width="13.1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875" style="2895" customWidth="1"/>
    <col min="5902" max="6144" width="9" style="2895"/>
    <col min="6145" max="6145" width="4.875" style="2895" customWidth="1"/>
    <col min="6146" max="6146" width="13.1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875" style="2895" customWidth="1"/>
    <col min="6158" max="6400" width="9" style="2895"/>
    <col min="6401" max="6401" width="4.875" style="2895" customWidth="1"/>
    <col min="6402" max="6402" width="13.1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875" style="2895" customWidth="1"/>
    <col min="6414" max="6656" width="9" style="2895"/>
    <col min="6657" max="6657" width="4.875" style="2895" customWidth="1"/>
    <col min="6658" max="6658" width="13.1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875" style="2895" customWidth="1"/>
    <col min="6670" max="6912" width="9" style="2895"/>
    <col min="6913" max="6913" width="4.875" style="2895" customWidth="1"/>
    <col min="6914" max="6914" width="13.1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875" style="2895" customWidth="1"/>
    <col min="6926" max="7168" width="9" style="2895"/>
    <col min="7169" max="7169" width="4.875" style="2895" customWidth="1"/>
    <col min="7170" max="7170" width="13.1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875" style="2895" customWidth="1"/>
    <col min="7182" max="7424" width="9" style="2895"/>
    <col min="7425" max="7425" width="4.875" style="2895" customWidth="1"/>
    <col min="7426" max="7426" width="13.1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875" style="2895" customWidth="1"/>
    <col min="7438" max="7680" width="9" style="2895"/>
    <col min="7681" max="7681" width="4.875" style="2895" customWidth="1"/>
    <col min="7682" max="7682" width="13.1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875" style="2895" customWidth="1"/>
    <col min="7694" max="7936" width="9" style="2895"/>
    <col min="7937" max="7937" width="4.875" style="2895" customWidth="1"/>
    <col min="7938" max="7938" width="13.1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875" style="2895" customWidth="1"/>
    <col min="7950" max="8192" width="9" style="2895"/>
    <col min="8193" max="8193" width="4.875" style="2895" customWidth="1"/>
    <col min="8194" max="8194" width="13.1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875" style="2895" customWidth="1"/>
    <col min="8206" max="8448" width="9" style="2895"/>
    <col min="8449" max="8449" width="4.875" style="2895" customWidth="1"/>
    <col min="8450" max="8450" width="13.1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875" style="2895" customWidth="1"/>
    <col min="8462" max="8704" width="9" style="2895"/>
    <col min="8705" max="8705" width="4.875" style="2895" customWidth="1"/>
    <col min="8706" max="8706" width="13.1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875" style="2895" customWidth="1"/>
    <col min="8718" max="8960" width="9" style="2895"/>
    <col min="8961" max="8961" width="4.875" style="2895" customWidth="1"/>
    <col min="8962" max="8962" width="13.1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875" style="2895" customWidth="1"/>
    <col min="8974" max="9216" width="9" style="2895"/>
    <col min="9217" max="9217" width="4.875" style="2895" customWidth="1"/>
    <col min="9218" max="9218" width="13.1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875" style="2895" customWidth="1"/>
    <col min="9230" max="9472" width="9" style="2895"/>
    <col min="9473" max="9473" width="4.875" style="2895" customWidth="1"/>
    <col min="9474" max="9474" width="13.1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875" style="2895" customWidth="1"/>
    <col min="9486" max="9728" width="9" style="2895"/>
    <col min="9729" max="9729" width="4.875" style="2895" customWidth="1"/>
    <col min="9730" max="9730" width="13.1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875" style="2895" customWidth="1"/>
    <col min="9742" max="9984" width="9" style="2895"/>
    <col min="9985" max="9985" width="4.875" style="2895" customWidth="1"/>
    <col min="9986" max="9986" width="13.1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875" style="2895" customWidth="1"/>
    <col min="9998" max="10240" width="9" style="2895"/>
    <col min="10241" max="10241" width="4.875" style="2895" customWidth="1"/>
    <col min="10242" max="10242" width="13.1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875" style="2895" customWidth="1"/>
    <col min="10254" max="10496" width="9" style="2895"/>
    <col min="10497" max="10497" width="4.875" style="2895" customWidth="1"/>
    <col min="10498" max="10498" width="13.1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875" style="2895" customWidth="1"/>
    <col min="10510" max="10752" width="9" style="2895"/>
    <col min="10753" max="10753" width="4.875" style="2895" customWidth="1"/>
    <col min="10754" max="10754" width="13.1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875" style="2895" customWidth="1"/>
    <col min="10766" max="11008" width="9" style="2895"/>
    <col min="11009" max="11009" width="4.875" style="2895" customWidth="1"/>
    <col min="11010" max="11010" width="13.1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875" style="2895" customWidth="1"/>
    <col min="11022" max="11264" width="9" style="2895"/>
    <col min="11265" max="11265" width="4.875" style="2895" customWidth="1"/>
    <col min="11266" max="11266" width="13.1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875" style="2895" customWidth="1"/>
    <col min="11278" max="11520" width="9" style="2895"/>
    <col min="11521" max="11521" width="4.875" style="2895" customWidth="1"/>
    <col min="11522" max="11522" width="13.1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875" style="2895" customWidth="1"/>
    <col min="11534" max="11776" width="9" style="2895"/>
    <col min="11777" max="11777" width="4.875" style="2895" customWidth="1"/>
    <col min="11778" max="11778" width="13.1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875" style="2895" customWidth="1"/>
    <col min="11790" max="12032" width="9" style="2895"/>
    <col min="12033" max="12033" width="4.875" style="2895" customWidth="1"/>
    <col min="12034" max="12034" width="13.1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875" style="2895" customWidth="1"/>
    <col min="12046" max="12288" width="9" style="2895"/>
    <col min="12289" max="12289" width="4.875" style="2895" customWidth="1"/>
    <col min="12290" max="12290" width="13.1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875" style="2895" customWidth="1"/>
    <col min="12302" max="12544" width="9" style="2895"/>
    <col min="12545" max="12545" width="4.875" style="2895" customWidth="1"/>
    <col min="12546" max="12546" width="13.1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875" style="2895" customWidth="1"/>
    <col min="12558" max="12800" width="9" style="2895"/>
    <col min="12801" max="12801" width="4.875" style="2895" customWidth="1"/>
    <col min="12802" max="12802" width="13.1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875" style="2895" customWidth="1"/>
    <col min="12814" max="13056" width="9" style="2895"/>
    <col min="13057" max="13057" width="4.875" style="2895" customWidth="1"/>
    <col min="13058" max="13058" width="13.1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875" style="2895" customWidth="1"/>
    <col min="13070" max="13312" width="9" style="2895"/>
    <col min="13313" max="13313" width="4.875" style="2895" customWidth="1"/>
    <col min="13314" max="13314" width="13.1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875" style="2895" customWidth="1"/>
    <col min="13326" max="13568" width="9" style="2895"/>
    <col min="13569" max="13569" width="4.875" style="2895" customWidth="1"/>
    <col min="13570" max="13570" width="13.1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875" style="2895" customWidth="1"/>
    <col min="13582" max="13824" width="9" style="2895"/>
    <col min="13825" max="13825" width="4.875" style="2895" customWidth="1"/>
    <col min="13826" max="13826" width="13.1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875" style="2895" customWidth="1"/>
    <col min="13838" max="14080" width="9" style="2895"/>
    <col min="14081" max="14081" width="4.875" style="2895" customWidth="1"/>
    <col min="14082" max="14082" width="13.1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875" style="2895" customWidth="1"/>
    <col min="14094" max="14336" width="9" style="2895"/>
    <col min="14337" max="14337" width="4.875" style="2895" customWidth="1"/>
    <col min="14338" max="14338" width="13.1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875" style="2895" customWidth="1"/>
    <col min="14350" max="14592" width="9" style="2895"/>
    <col min="14593" max="14593" width="4.875" style="2895" customWidth="1"/>
    <col min="14594" max="14594" width="13.1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875" style="2895" customWidth="1"/>
    <col min="14606" max="14848" width="9" style="2895"/>
    <col min="14849" max="14849" width="4.875" style="2895" customWidth="1"/>
    <col min="14850" max="14850" width="13.1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875" style="2895" customWidth="1"/>
    <col min="14862" max="15104" width="9" style="2895"/>
    <col min="15105" max="15105" width="4.875" style="2895" customWidth="1"/>
    <col min="15106" max="15106" width="13.1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875" style="2895" customWidth="1"/>
    <col min="15118" max="15360" width="9" style="2895"/>
    <col min="15361" max="15361" width="4.875" style="2895" customWidth="1"/>
    <col min="15362" max="15362" width="13.1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875" style="2895" customWidth="1"/>
    <col min="15374" max="15616" width="9" style="2895"/>
    <col min="15617" max="15617" width="4.875" style="2895" customWidth="1"/>
    <col min="15618" max="15618" width="13.1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875" style="2895" customWidth="1"/>
    <col min="15630" max="15872" width="9" style="2895"/>
    <col min="15873" max="15873" width="4.875" style="2895" customWidth="1"/>
    <col min="15874" max="15874" width="13.1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875" style="2895" customWidth="1"/>
    <col min="15886" max="16128" width="9" style="2895"/>
    <col min="16129" max="16129" width="4.875" style="2895" customWidth="1"/>
    <col min="16130" max="16130" width="13.1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875" style="2895" customWidth="1"/>
    <col min="16142" max="16384" width="9" style="2895"/>
  </cols>
  <sheetData>
    <row r="1" spans="1:257" s="2955" customFormat="1" ht="14.25" thickBot="1">
      <c r="A1" s="2954"/>
      <c r="B1" s="2956" t="s">
        <v>2783</v>
      </c>
      <c r="C1" s="2960">
        <f>项目基本情况!D3</f>
        <v>43927</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2814</v>
      </c>
      <c r="C2" s="2961">
        <f>'数据-取费表'!B22</f>
        <v>2</v>
      </c>
      <c r="D2" s="2956" t="s">
        <v>2784</v>
      </c>
      <c r="E2" s="2959">
        <f ca="1">INDIRECT("I"&amp;$I$1)/100</f>
        <v>4.7500000000000001E-2</v>
      </c>
      <c r="G2" s="2896"/>
      <c r="H2" s="2896"/>
      <c r="I2" s="2896" t="s">
        <v>2785</v>
      </c>
      <c r="K2" s="2896"/>
      <c r="L2" s="2896"/>
      <c r="M2" s="2896"/>
      <c r="N2" s="2896" t="s">
        <v>2786</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2816</v>
      </c>
      <c r="C3" s="2958">
        <f>'数据-取费表'!B19</f>
        <v>0</v>
      </c>
      <c r="D3" s="2956" t="s">
        <v>2784</v>
      </c>
      <c r="E3" s="2959">
        <f ca="1">INDIRECT("J"&amp;$J$1)/100</f>
        <v>0</v>
      </c>
      <c r="G3" s="2898" t="s">
        <v>2787</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2815</v>
      </c>
      <c r="C4" s="2959">
        <f ca="1">N4/100</f>
        <v>1.4999999999999999E-2</v>
      </c>
      <c r="G4" s="2904" t="s">
        <v>2788</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2789</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2790</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2791</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2792</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2793</v>
      </c>
      <c r="C10" s="2923"/>
      <c r="D10" s="2923"/>
      <c r="E10" s="2923"/>
      <c r="F10" s="2923"/>
      <c r="G10" s="2923"/>
      <c r="H10" s="2923"/>
      <c r="I10" s="2897"/>
      <c r="J10" s="2897"/>
      <c r="K10" s="2923"/>
      <c r="L10" s="2924" t="s">
        <v>2794</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2795</v>
      </c>
      <c r="C11" s="2928" t="s">
        <v>2796</v>
      </c>
      <c r="D11" s="2929" t="s">
        <v>2797</v>
      </c>
      <c r="E11" s="2930"/>
      <c r="F11" s="2929" t="s">
        <v>2798</v>
      </c>
      <c r="G11" s="2931"/>
      <c r="H11" s="2930"/>
      <c r="I11" s="2929" t="s">
        <v>2799</v>
      </c>
      <c r="J11" s="2930"/>
      <c r="K11" s="2926"/>
      <c r="L11" s="2927" t="s">
        <v>2795</v>
      </c>
      <c r="M11" s="2928" t="s">
        <v>2796</v>
      </c>
      <c r="N11" s="2927" t="s">
        <v>2800</v>
      </c>
      <c r="O11" s="2929" t="s">
        <v>2801</v>
      </c>
      <c r="P11" s="2931"/>
      <c r="Q11" s="2931"/>
      <c r="R11" s="2931"/>
      <c r="S11" s="2931"/>
      <c r="T11" s="2930"/>
      <c r="U11" s="2929" t="s">
        <v>2802</v>
      </c>
      <c r="V11" s="2931"/>
      <c r="W11" s="2930"/>
      <c r="X11" s="2927" t="s">
        <v>2803</v>
      </c>
      <c r="Y11" s="2927" t="s">
        <v>2804</v>
      </c>
      <c r="Z11" s="2927" t="s">
        <v>2805</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2806</v>
      </c>
      <c r="E12" s="2936" t="s">
        <v>2807</v>
      </c>
      <c r="F12" s="2936" t="s">
        <v>2808</v>
      </c>
      <c r="G12" s="2936" t="s">
        <v>2809</v>
      </c>
      <c r="H12" s="2936" t="s">
        <v>2791</v>
      </c>
      <c r="I12" s="2937" t="s">
        <v>2810</v>
      </c>
      <c r="J12" s="2937" t="s">
        <v>2810</v>
      </c>
      <c r="K12" s="2933"/>
      <c r="L12" s="2934"/>
      <c r="M12" s="2935"/>
      <c r="N12" s="2934"/>
      <c r="O12" s="2937" t="s">
        <v>2811</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2812</v>
      </c>
      <c r="C13" s="2941">
        <v>42301</v>
      </c>
      <c r="D13" s="2942">
        <v>4.3499999999999996</v>
      </c>
      <c r="E13" s="2942">
        <v>4.3499999999999996</v>
      </c>
      <c r="F13" s="2942">
        <v>4.75</v>
      </c>
      <c r="G13" s="2942">
        <v>4.75</v>
      </c>
      <c r="H13" s="2942">
        <v>4.9000000000000004</v>
      </c>
      <c r="I13" s="2942">
        <v>2.75</v>
      </c>
      <c r="J13" s="2942">
        <v>3.25</v>
      </c>
      <c r="K13" s="2939"/>
      <c r="L13" s="2940" t="s">
        <v>2812</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2813</v>
      </c>
      <c r="Y42" s="2946" t="s">
        <v>2813</v>
      </c>
      <c r="Z42" s="2946" t="s">
        <v>2813</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2813</v>
      </c>
      <c r="Y43" s="2946" t="s">
        <v>2813</v>
      </c>
      <c r="Z43" s="2946" t="s">
        <v>2813</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2813</v>
      </c>
      <c r="Y44" s="2946" t="s">
        <v>2813</v>
      </c>
      <c r="Z44" s="2946" t="s">
        <v>2813</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2813</v>
      </c>
      <c r="Y45" s="2946" t="s">
        <v>2813</v>
      </c>
      <c r="Z45" s="2946" t="s">
        <v>2813</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2813</v>
      </c>
      <c r="Y46" s="2946" t="s">
        <v>2813</v>
      </c>
      <c r="Z46" s="2946" t="s">
        <v>2813</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2813</v>
      </c>
      <c r="Y47" s="2946" t="s">
        <v>2813</v>
      </c>
      <c r="Z47" s="2946" t="s">
        <v>2813</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2813</v>
      </c>
      <c r="Y48" s="2946" t="s">
        <v>2813</v>
      </c>
      <c r="Z48" s="2946" t="s">
        <v>2813</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2813</v>
      </c>
      <c r="Y49" s="2946" t="s">
        <v>2813</v>
      </c>
      <c r="Z49" s="2946" t="s">
        <v>2813</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2813</v>
      </c>
      <c r="Y50" s="2946" t="s">
        <v>2813</v>
      </c>
      <c r="Z50" s="2946" t="s">
        <v>2813</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2813</v>
      </c>
      <c r="V51" s="2946" t="s">
        <v>2813</v>
      </c>
      <c r="W51" s="2946" t="s">
        <v>2813</v>
      </c>
      <c r="X51" s="2946" t="s">
        <v>2813</v>
      </c>
      <c r="Y51" s="2946" t="s">
        <v>2813</v>
      </c>
      <c r="Z51" s="2946" t="s">
        <v>2813</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2813</v>
      </c>
      <c r="J55" s="2946" t="s">
        <v>2813</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Sheet2</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2020-04-08T07:37:53Z</dcterms:modified>
</cp:coreProperties>
</file>