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652147CE-E10B-4D27-A077-07969001665C}"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J12" i="67" l="1"/>
  <c r="H33" i="21" l="1"/>
  <c r="F33" i="21"/>
  <c r="J37" i="21"/>
  <c r="E129" i="21"/>
  <c r="F129" i="21"/>
  <c r="G129" i="21" s="1"/>
  <c r="F37" i="21" s="1"/>
  <c r="D129" i="21"/>
  <c r="AO19" i="81"/>
  <c r="D91" i="21"/>
  <c r="E91" i="21" s="1"/>
  <c r="E15" i="21"/>
  <c r="I35" i="81"/>
  <c r="I36" i="81"/>
  <c r="I29" i="81"/>
  <c r="I30" i="81"/>
  <c r="I31" i="81"/>
  <c r="I32" i="81"/>
  <c r="I33" i="81"/>
  <c r="I34" i="81"/>
  <c r="I37" i="81"/>
  <c r="I28" i="81"/>
  <c r="M20" i="1"/>
  <c r="M21" i="1" s="1"/>
  <c r="D3" i="4"/>
  <c r="Y20" i="1"/>
  <c r="I39" i="81" l="1"/>
  <c r="J39" i="81" s="1"/>
  <c r="H60" i="2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M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G19" i="21" s="1"/>
  <c r="I19" i="21" s="1"/>
  <c r="Q17" i="21"/>
  <c r="Z17" i="21" s="1"/>
  <c r="H17" i="21"/>
  <c r="AB17" i="21" s="1"/>
  <c r="C17" i="21"/>
  <c r="E17" i="21" s="1"/>
  <c r="Q15" i="21"/>
  <c r="Z15" i="21" s="1"/>
  <c r="H15" i="21"/>
  <c r="AB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E7" i="76"/>
  <c r="AO9" i="1"/>
  <c r="M9" i="67"/>
  <c r="D2" i="37"/>
  <c r="D2" i="34"/>
  <c r="E2" i="69"/>
  <c r="M6" i="67"/>
  <c r="D35" i="9"/>
  <c r="M27" i="67"/>
  <c r="L47" i="67"/>
  <c r="E2" i="68"/>
  <c r="F42" i="67"/>
  <c r="F37" i="67"/>
  <c r="D2" i="36"/>
  <c r="M24" i="67"/>
  <c r="B8" i="76"/>
  <c r="B7" i="76"/>
  <c r="F26" i="67"/>
  <c r="F13" i="67"/>
  <c r="AO10" i="1"/>
  <c r="AO11" i="1"/>
  <c r="AO7" i="1"/>
  <c r="B10" i="76"/>
  <c r="D2" i="35"/>
  <c r="F16" i="67"/>
  <c r="F40" i="67"/>
  <c r="B12" i="76"/>
  <c r="E9" i="76"/>
  <c r="AO12" i="1"/>
  <c r="B13" i="76"/>
  <c r="B11" i="76"/>
  <c r="F6" i="67"/>
  <c r="F36" i="67"/>
  <c r="E8" i="76"/>
  <c r="F20" i="31"/>
  <c r="M28" i="67"/>
  <c r="M22" i="67"/>
  <c r="J15" i="67"/>
  <c r="D2" i="33"/>
  <c r="D2" i="21"/>
  <c r="B9" i="76"/>
  <c r="E11" i="76"/>
  <c r="F9" i="67"/>
  <c r="E12" i="76"/>
  <c r="AO8" i="1"/>
  <c r="E13" i="76"/>
  <c r="F38" i="67"/>
  <c r="F8" i="67"/>
  <c r="M8" i="67"/>
  <c r="M26" i="67"/>
  <c r="D34" i="9"/>
  <c r="C76" i="67"/>
  <c r="AO13" i="1"/>
  <c r="E10" i="76"/>
  <c r="M23" i="67"/>
  <c r="BL20" i="3" l="1"/>
  <c r="BL36" i="3"/>
  <c r="BA41" i="3"/>
  <c r="G49" i="3"/>
  <c r="BA49" i="3"/>
  <c r="G53" i="3"/>
  <c r="BA53" i="3"/>
  <c r="BL56" i="3"/>
  <c r="BA111" i="3"/>
  <c r="G185" i="3"/>
  <c r="G193" i="3"/>
  <c r="G201" i="3"/>
  <c r="G389" i="3"/>
  <c r="G393" i="3"/>
  <c r="G401" i="3"/>
  <c r="G458" i="3"/>
  <c r="G474" i="3"/>
  <c r="G490" i="3"/>
  <c r="G527" i="3"/>
  <c r="G531" i="3"/>
  <c r="G535" i="3"/>
  <c r="G559" i="3"/>
  <c r="G571" i="3"/>
  <c r="G23" i="2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AZ63" i="3" s="1"/>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AZ127" i="3" s="1"/>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BA91" i="3"/>
  <c r="BA95" i="3"/>
  <c r="BL118" i="3"/>
  <c r="BA121" i="3"/>
  <c r="AZ121" i="3" s="1"/>
  <c r="G125" i="3"/>
  <c r="BA185" i="3"/>
  <c r="BL202" i="3"/>
  <c r="BL207" i="3"/>
  <c r="BA209" i="3"/>
  <c r="BA265" i="3"/>
  <c r="G277" i="3"/>
  <c r="BA281" i="3"/>
  <c r="AZ281" i="3" s="1"/>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BL120" i="3"/>
  <c r="G131" i="3"/>
  <c r="BL134" i="3"/>
  <c r="BA137" i="3"/>
  <c r="AZ137" i="3" s="1"/>
  <c r="BA147" i="3"/>
  <c r="G155" i="3"/>
  <c r="BA157" i="3"/>
  <c r="G159" i="3"/>
  <c r="G163" i="3"/>
  <c r="BL166" i="3"/>
  <c r="G167" i="3"/>
  <c r="BA169" i="3"/>
  <c r="AZ169" i="3" s="1"/>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AZ257" i="3" s="1"/>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AZ99" i="3" s="1"/>
  <c r="G107" i="3"/>
  <c r="BA119" i="3"/>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C6" i="43" s="1"/>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AZ313" i="3" s="1"/>
  <c r="BL315" i="3"/>
  <c r="G316" i="3"/>
  <c r="BL320" i="3"/>
  <c r="BA330" i="3"/>
  <c r="AZ330" i="3" s="1"/>
  <c r="BL338" i="3"/>
  <c r="G339" i="3"/>
  <c r="AZ24" i="3"/>
  <c r="AZ40" i="3"/>
  <c r="G157" i="3"/>
  <c r="BL167" i="3"/>
  <c r="BL176" i="3"/>
  <c r="BL179" i="3"/>
  <c r="G181" i="3"/>
  <c r="BA182" i="3"/>
  <c r="AZ182" i="3" s="1"/>
  <c r="BA183" i="3"/>
  <c r="BL190" i="3"/>
  <c r="AZ190" i="3" s="1"/>
  <c r="BA191" i="3"/>
  <c r="BA202" i="3"/>
  <c r="AZ202" i="3" s="1"/>
  <c r="BA203" i="3"/>
  <c r="AZ203" i="3" s="1"/>
  <c r="AZ222" i="3"/>
  <c r="AZ234" i="3"/>
  <c r="AZ254" i="3"/>
  <c r="AZ266"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AZ585" i="3" s="1"/>
  <c r="G586" i="3"/>
  <c r="S7" i="1"/>
  <c r="R7" i="1"/>
  <c r="S11" i="1"/>
  <c r="AR11" i="1" s="1"/>
  <c r="R13" i="1"/>
  <c r="B13" i="1"/>
  <c r="E13" i="1" s="1"/>
  <c r="H103" i="9"/>
  <c r="D23" i="15"/>
  <c r="D23" i="67"/>
  <c r="L46" i="67"/>
  <c r="D11" i="77"/>
  <c r="D7" i="77" s="1"/>
  <c r="C26" i="77" s="1"/>
  <c r="J27" i="33"/>
  <c r="AC27" i="33" s="1"/>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AZ556" i="3" s="1"/>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AZ339" i="3" s="1"/>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AZ53" i="3" s="1"/>
  <c r="G54" i="3"/>
  <c r="BA54" i="3"/>
  <c r="AZ54" i="3" s="1"/>
  <c r="BL55" i="3"/>
  <c r="G56" i="3"/>
  <c r="BA56" i="3"/>
  <c r="BL57" i="3"/>
  <c r="G58" i="3"/>
  <c r="BA58" i="3"/>
  <c r="AZ58" i="3" s="1"/>
  <c r="BL59" i="3"/>
  <c r="G60" i="3"/>
  <c r="BA60" i="3"/>
  <c r="BL61" i="3"/>
  <c r="AZ61" i="3" s="1"/>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AZ85" i="3" s="1"/>
  <c r="G86" i="3"/>
  <c r="BA86" i="3"/>
  <c r="AZ86" i="3" s="1"/>
  <c r="BL87" i="3"/>
  <c r="G88" i="3"/>
  <c r="BA88" i="3"/>
  <c r="AZ88" i="3" s="1"/>
  <c r="BL89" i="3"/>
  <c r="G90" i="3"/>
  <c r="BA90" i="3"/>
  <c r="AZ90" i="3" s="1"/>
  <c r="BL91" i="3"/>
  <c r="G92" i="3"/>
  <c r="BA92" i="3"/>
  <c r="BL93" i="3"/>
  <c r="AZ93" i="3" s="1"/>
  <c r="G94" i="3"/>
  <c r="BA94" i="3"/>
  <c r="AZ94" i="3" s="1"/>
  <c r="BL95" i="3"/>
  <c r="G96" i="3"/>
  <c r="BA96" i="3"/>
  <c r="AZ96" i="3" s="1"/>
  <c r="BL97" i="3"/>
  <c r="G98" i="3"/>
  <c r="BA98" i="3"/>
  <c r="BL99" i="3"/>
  <c r="G100" i="3"/>
  <c r="BA100" i="3"/>
  <c r="AZ100" i="3" s="1"/>
  <c r="BL101" i="3"/>
  <c r="G102" i="3"/>
  <c r="BA102" i="3"/>
  <c r="AZ102" i="3" s="1"/>
  <c r="BL103" i="3"/>
  <c r="G104" i="3"/>
  <c r="BA104" i="3"/>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AZ141" i="3" s="1"/>
  <c r="G142" i="3"/>
  <c r="BA142" i="3"/>
  <c r="BL143" i="3"/>
  <c r="G144" i="3"/>
  <c r="BA144" i="3"/>
  <c r="AZ144" i="3" s="1"/>
  <c r="BL145" i="3"/>
  <c r="G146" i="3"/>
  <c r="BA146" i="3"/>
  <c r="AZ146" i="3" s="1"/>
  <c r="BL147" i="3"/>
  <c r="G148" i="3"/>
  <c r="BA148" i="3"/>
  <c r="AZ148" i="3" s="1"/>
  <c r="BL149" i="3"/>
  <c r="AZ149" i="3" s="1"/>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G164" i="3"/>
  <c r="BA164" i="3"/>
  <c r="AZ164" i="3" s="1"/>
  <c r="BL165" i="3"/>
  <c r="AZ165" i="3" s="1"/>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AZ213" i="3" s="1"/>
  <c r="G214" i="3"/>
  <c r="BA216" i="3"/>
  <c r="AZ216" i="3" s="1"/>
  <c r="BL217" i="3"/>
  <c r="G218" i="3"/>
  <c r="BA220" i="3"/>
  <c r="AZ220" i="3" s="1"/>
  <c r="BL221" i="3"/>
  <c r="G222" i="3"/>
  <c r="BA224" i="3"/>
  <c r="AZ224" i="3" s="1"/>
  <c r="BL225" i="3"/>
  <c r="G226" i="3"/>
  <c r="BA228" i="3"/>
  <c r="AZ228" i="3" s="1"/>
  <c r="BL229" i="3"/>
  <c r="AZ229" i="3" s="1"/>
  <c r="G230" i="3"/>
  <c r="BA232" i="3"/>
  <c r="AZ232" i="3" s="1"/>
  <c r="BL233" i="3"/>
  <c r="G234" i="3"/>
  <c r="BA236" i="3"/>
  <c r="BL237" i="3"/>
  <c r="G238" i="3"/>
  <c r="BA240" i="3"/>
  <c r="AZ240" i="3" s="1"/>
  <c r="BL241" i="3"/>
  <c r="G242" i="3"/>
  <c r="BA244" i="3"/>
  <c r="AZ244" i="3" s="1"/>
  <c r="BL245" i="3"/>
  <c r="AZ245" i="3" s="1"/>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AZ277" i="3" s="1"/>
  <c r="G278" i="3"/>
  <c r="BA280" i="3"/>
  <c r="AZ280" i="3" s="1"/>
  <c r="BL281" i="3"/>
  <c r="G282" i="3"/>
  <c r="BA284" i="3"/>
  <c r="AZ284" i="3" s="1"/>
  <c r="BL285" i="3"/>
  <c r="G286" i="3"/>
  <c r="BA288" i="3"/>
  <c r="AZ288" i="3" s="1"/>
  <c r="BL289" i="3"/>
  <c r="G290" i="3"/>
  <c r="BA292" i="3"/>
  <c r="AZ292" i="3" s="1"/>
  <c r="BL293" i="3"/>
  <c r="AZ293" i="3" s="1"/>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G338" i="3"/>
  <c r="BA340" i="3"/>
  <c r="AZ340" i="3" s="1"/>
  <c r="BL341" i="3"/>
  <c r="AZ341" i="3" s="1"/>
  <c r="G342" i="3"/>
  <c r="BA344" i="3"/>
  <c r="AZ344" i="3" s="1"/>
  <c r="BL345" i="3"/>
  <c r="G346" i="3"/>
  <c r="BA348" i="3"/>
  <c r="BL349" i="3"/>
  <c r="G350" i="3"/>
  <c r="BA352" i="3"/>
  <c r="AZ352" i="3" s="1"/>
  <c r="BL353" i="3"/>
  <c r="G354" i="3"/>
  <c r="BA356" i="3"/>
  <c r="AZ356" i="3" s="1"/>
  <c r="BL357" i="3"/>
  <c r="AZ357" i="3" s="1"/>
  <c r="G358" i="3"/>
  <c r="BA360" i="3"/>
  <c r="BL361" i="3"/>
  <c r="AZ361" i="3" s="1"/>
  <c r="G362" i="3"/>
  <c r="BA364" i="3"/>
  <c r="BL365" i="3"/>
  <c r="G366" i="3"/>
  <c r="BA368" i="3"/>
  <c r="AZ368" i="3" s="1"/>
  <c r="BL369" i="3"/>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BL425" i="3"/>
  <c r="AZ425" i="3" s="1"/>
  <c r="G426" i="3"/>
  <c r="BA428" i="3"/>
  <c r="AZ428" i="3" s="1"/>
  <c r="BL429" i="3"/>
  <c r="G430" i="3"/>
  <c r="BA432" i="3"/>
  <c r="AZ432" i="3" s="1"/>
  <c r="BL433" i="3"/>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BL455" i="3"/>
  <c r="G456" i="3"/>
  <c r="BA458" i="3"/>
  <c r="BL459" i="3"/>
  <c r="G460" i="3"/>
  <c r="BA462" i="3"/>
  <c r="BL463" i="3"/>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AZ579" i="3" s="1"/>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21" i="3"/>
  <c r="AZ25" i="3"/>
  <c r="AZ27" i="3"/>
  <c r="AZ29" i="3"/>
  <c r="AZ35" i="3"/>
  <c r="AZ37" i="3"/>
  <c r="AZ39" i="3"/>
  <c r="AZ47" i="3"/>
  <c r="AZ49" i="3"/>
  <c r="AZ51" i="3"/>
  <c r="AZ59" i="3"/>
  <c r="AZ67" i="3"/>
  <c r="AZ69" i="3"/>
  <c r="AZ71" i="3"/>
  <c r="AZ73" i="3"/>
  <c r="AZ75" i="3"/>
  <c r="AZ77" i="3"/>
  <c r="AZ79" i="3"/>
  <c r="AZ83" i="3"/>
  <c r="AZ87" i="3"/>
  <c r="AZ89" i="3"/>
  <c r="AZ91" i="3"/>
  <c r="AZ95" i="3"/>
  <c r="AZ97" i="3"/>
  <c r="AZ105" i="3"/>
  <c r="AZ107" i="3"/>
  <c r="AZ111" i="3"/>
  <c r="AZ113" i="3"/>
  <c r="AZ115" i="3"/>
  <c r="AZ119" i="3"/>
  <c r="AZ123" i="3"/>
  <c r="AZ125" i="3"/>
  <c r="AZ129" i="3"/>
  <c r="AZ135" i="3"/>
  <c r="AZ139" i="3"/>
  <c r="AZ143" i="3"/>
  <c r="AZ145" i="3"/>
  <c r="AZ147" i="3"/>
  <c r="AZ151" i="3"/>
  <c r="AZ155" i="3"/>
  <c r="AZ159" i="3"/>
  <c r="AZ163" i="3"/>
  <c r="AZ173" i="3"/>
  <c r="AZ177" i="3"/>
  <c r="AZ181" i="3"/>
  <c r="AZ185" i="3"/>
  <c r="AZ189" i="3"/>
  <c r="AZ193" i="3"/>
  <c r="AZ201" i="3"/>
  <c r="AZ205" i="3"/>
  <c r="AZ209" i="3"/>
  <c r="AZ217" i="3"/>
  <c r="AZ225" i="3"/>
  <c r="AZ233" i="3"/>
  <c r="AZ237" i="3"/>
  <c r="AZ241" i="3"/>
  <c r="AZ249" i="3"/>
  <c r="AZ253" i="3"/>
  <c r="AZ265" i="3"/>
  <c r="AZ273" i="3"/>
  <c r="AZ285" i="3"/>
  <c r="AZ289" i="3"/>
  <c r="AZ297" i="3"/>
  <c r="AZ301" i="3"/>
  <c r="AZ305" i="3"/>
  <c r="AZ317" i="3"/>
  <c r="AZ325" i="3"/>
  <c r="AZ329" i="3"/>
  <c r="AZ337" i="3"/>
  <c r="AZ345" i="3"/>
  <c r="AZ349" i="3"/>
  <c r="AB8" i="71"/>
  <c r="X8" i="71"/>
  <c r="AA8" i="71"/>
  <c r="Y8" i="71"/>
  <c r="Z8" i="71" s="1"/>
  <c r="A118" i="9"/>
  <c r="A2" i="9"/>
  <c r="M56" i="9"/>
  <c r="J56" i="9"/>
  <c r="J57" i="9" s="1"/>
  <c r="J59" i="9" s="1"/>
  <c r="J61" i="9" s="1"/>
  <c r="N56" i="9"/>
  <c r="K56" i="9"/>
  <c r="I4" i="6"/>
  <c r="AZ435" i="3"/>
  <c r="AZ443" i="3"/>
  <c r="AZ459" i="3"/>
  <c r="AZ463" i="3"/>
  <c r="AZ471" i="3"/>
  <c r="AZ483" i="3"/>
  <c r="AZ491" i="3"/>
  <c r="AZ523" i="3"/>
  <c r="AZ539" i="3"/>
  <c r="AZ559" i="3"/>
  <c r="AZ587" i="3"/>
  <c r="AR8" i="1"/>
  <c r="AQ8" i="1"/>
  <c r="T8" i="1"/>
  <c r="AQ9" i="1"/>
  <c r="T9" i="1"/>
  <c r="AR9" i="1"/>
  <c r="C18" i="9"/>
  <c r="D18" i="9" s="1"/>
  <c r="C94" i="9"/>
  <c r="C92" i="9"/>
  <c r="H89" i="21"/>
  <c r="I89" i="21" s="1"/>
  <c r="J89" i="21" s="1"/>
  <c r="K89" i="21" s="1"/>
  <c r="L89" i="21" s="1"/>
  <c r="M89" i="21" s="1"/>
  <c r="F26" i="21"/>
  <c r="AA26" i="21" s="1"/>
  <c r="W30" i="21"/>
  <c r="AQ7" i="1"/>
  <c r="T7" i="1"/>
  <c r="AR7" i="1"/>
  <c r="AR10" i="1"/>
  <c r="AQ10" i="1"/>
  <c r="T10" i="1"/>
  <c r="AB13" i="21"/>
  <c r="U13" i="21"/>
  <c r="S37" i="21"/>
  <c r="F127" i="21"/>
  <c r="J44" i="21" s="1"/>
  <c r="H44" i="21"/>
  <c r="AC46" i="21"/>
  <c r="W46" i="21"/>
  <c r="W27" i="33"/>
  <c r="AC29" i="33"/>
  <c r="W29" i="33"/>
  <c r="AC31" i="33"/>
  <c r="W31" i="33"/>
  <c r="AB45" i="33"/>
  <c r="U45" i="33"/>
  <c r="B6" i="1"/>
  <c r="E6" i="1" s="1"/>
  <c r="K6" i="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M18" i="15"/>
  <c r="F28" i="67"/>
  <c r="P74" i="67"/>
  <c r="E23" i="77"/>
  <c r="D26" i="77"/>
  <c r="C29" i="77"/>
  <c r="R35" i="77"/>
  <c r="U34" i="77" s="1"/>
  <c r="U8" i="21"/>
  <c r="U9" i="21"/>
  <c r="S10" i="21"/>
  <c r="W10" i="21"/>
  <c r="U11"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69"/>
  <c r="F48" i="69" s="1"/>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S29" i="21"/>
  <c r="U30" i="21"/>
  <c r="W31" i="21"/>
  <c r="S39" i="21"/>
  <c r="W39" i="21"/>
  <c r="U40" i="21"/>
  <c r="S41" i="21"/>
  <c r="W41" i="21"/>
  <c r="W45" i="21"/>
  <c r="R47" i="21"/>
  <c r="V47" i="21"/>
  <c r="G54" i="21"/>
  <c r="H54" i="21" s="1"/>
  <c r="K144" i="21"/>
  <c r="U9" i="33"/>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F43" i="67"/>
  <c r="F7" i="67"/>
  <c r="D7" i="73"/>
  <c r="M29" i="67"/>
  <c r="F6" i="73"/>
  <c r="AZ451" i="3" l="1"/>
  <c r="AZ133" i="3"/>
  <c r="AZ309" i="3"/>
  <c r="AZ261" i="3"/>
  <c r="AZ197" i="3"/>
  <c r="AZ117" i="3"/>
  <c r="AZ109" i="3"/>
  <c r="U9" i="35"/>
  <c r="W30" i="33"/>
  <c r="S14" i="33"/>
  <c r="F30" i="1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W37" i="21"/>
  <c r="AA37" i="21"/>
  <c r="E123" i="3"/>
  <c r="E398" i="3"/>
  <c r="E567" i="3"/>
  <c r="E131" i="3"/>
  <c r="E234" i="3"/>
  <c r="E366" i="3"/>
  <c r="E252" i="3"/>
  <c r="E367" i="3"/>
  <c r="E527" i="3"/>
  <c r="E508" i="3"/>
  <c r="E51" i="3"/>
  <c r="E91" i="3"/>
  <c r="E178" i="3"/>
  <c r="E198" i="3"/>
  <c r="E282" i="3"/>
  <c r="E306" i="3"/>
  <c r="E422" i="3"/>
  <c r="E180" i="3"/>
  <c r="E308" i="3"/>
  <c r="E340" i="3"/>
  <c r="E395" i="3"/>
  <c r="E415" i="3"/>
  <c r="E551" i="3"/>
  <c r="E583" i="3"/>
  <c r="E492" i="3"/>
  <c r="E512" i="3"/>
  <c r="E576" i="3"/>
  <c r="E35" i="3"/>
  <c r="E55" i="3"/>
  <c r="E99" i="3"/>
  <c r="E119" i="3"/>
  <c r="E139" i="3"/>
  <c r="E182" i="3"/>
  <c r="E226" i="3"/>
  <c r="E246" i="3"/>
  <c r="E310" i="3"/>
  <c r="E354" i="3"/>
  <c r="E390" i="3"/>
  <c r="AL6" i="3"/>
  <c r="E172" i="3"/>
  <c r="E204" i="3"/>
  <c r="E268" i="3"/>
  <c r="E300" i="3"/>
  <c r="E332" i="3"/>
  <c r="E420" i="3"/>
  <c r="E379" i="3"/>
  <c r="E399" i="3"/>
  <c r="E447" i="3"/>
  <c r="E479" i="3"/>
  <c r="E511" i="3"/>
  <c r="E575" i="3"/>
  <c r="E432" i="3"/>
  <c r="E496" i="3"/>
  <c r="E8" i="6"/>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D4" i="73"/>
  <c r="M8" i="15"/>
  <c r="M24" i="15"/>
  <c r="C16" i="67"/>
  <c r="F38" i="15"/>
  <c r="F36" i="15"/>
  <c r="M9" i="15"/>
  <c r="F6" i="15"/>
  <c r="F13" i="15"/>
  <c r="M27" i="15"/>
  <c r="C14" i="15"/>
  <c r="F35" i="15"/>
  <c r="F42" i="15"/>
  <c r="M6" i="15"/>
  <c r="M26" i="15"/>
  <c r="D6" i="73"/>
  <c r="M29" i="15"/>
  <c r="M23" i="15"/>
  <c r="F26" i="15"/>
  <c r="F5" i="73"/>
  <c r="F9" i="15"/>
  <c r="F43" i="15"/>
  <c r="F7" i="73"/>
  <c r="J15" i="15"/>
  <c r="F7" i="15"/>
  <c r="F40" i="15"/>
  <c r="C76" i="15"/>
  <c r="M28" i="15"/>
  <c r="F41" i="15"/>
  <c r="D5" i="73"/>
  <c r="F4" i="73"/>
  <c r="F8" i="15"/>
  <c r="L48" i="15"/>
  <c r="M22" i="15"/>
  <c r="F37" i="15"/>
  <c r="M21" i="15"/>
  <c r="D3" i="73"/>
  <c r="L47" i="15"/>
  <c r="F3" i="73"/>
  <c r="F16" i="15"/>
  <c r="E536" i="3" l="1"/>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F27" i="11"/>
  <c r="F27" i="69"/>
  <c r="F28" i="12"/>
  <c r="F27" i="68"/>
  <c r="C32" i="71"/>
  <c r="D31" i="71"/>
  <c r="C40" i="71"/>
  <c r="D39" i="71"/>
  <c r="T44" i="71"/>
  <c r="D44" i="71"/>
  <c r="E65" i="39"/>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G1" i="73"/>
  <c r="C17" i="15"/>
  <c r="B40" i="1" l="1"/>
  <c r="F22" i="11" s="1"/>
  <c r="C23" i="11" s="1"/>
  <c r="AY6" i="3"/>
  <c r="AY585" i="3" s="1"/>
  <c r="H7" i="35"/>
  <c r="AB7" i="35" s="1"/>
  <c r="T38" i="35" s="1"/>
  <c r="G38" i="35" s="1"/>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7" i="67"/>
  <c r="AE6" i="1"/>
  <c r="C14" i="67"/>
  <c r="AY561" i="3" l="1"/>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R23" i="6" s="1"/>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4" i="6" l="1"/>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20" i="9"/>
  <c r="M21" i="67"/>
  <c r="D19" i="9"/>
  <c r="F35"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I20" i="9"/>
  <c r="D10" i="7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9" i="72"/>
  <c r="D5" i="52"/>
  <c r="D119" i="9"/>
  <c r="C86" i="9"/>
  <c r="C93" i="9"/>
  <c r="B53" i="72"/>
  <c r="F5" i="52"/>
  <c r="F119" i="9"/>
  <c r="B30" i="72"/>
  <c r="M54" i="9"/>
  <c r="D56" i="9"/>
  <c r="D58" i="9"/>
  <c r="C97" i="9"/>
  <c r="D54" i="9"/>
  <c r="C68" i="9"/>
  <c r="C5" i="74"/>
  <c r="B22" i="72"/>
  <c r="D6" i="53"/>
  <c r="C73" i="9"/>
  <c r="C78" i="9"/>
  <c r="D118" i="9"/>
  <c r="D4" i="52"/>
  <c r="B47" i="72"/>
  <c r="C81" i="9"/>
  <c r="D13" i="53"/>
  <c r="D14" i="53"/>
  <c r="B32" i="72"/>
  <c r="B52" i="72"/>
  <c r="G4" i="52"/>
  <c r="B31" i="72"/>
  <c r="D15" i="53"/>
  <c r="H102" i="9"/>
  <c r="D7" i="53"/>
  <c r="B21" i="72"/>
  <c r="M48" i="9"/>
  <c r="H108" i="9"/>
  <c r="C6" i="74"/>
  <c r="D8" i="52"/>
  <c r="E81" i="9"/>
  <c r="C72" i="9"/>
  <c r="C79" i="9"/>
  <c r="C80" i="9"/>
  <c r="E80" i="9"/>
  <c r="G118" i="9"/>
  <c r="F118" i="9"/>
  <c r="F4" i="52"/>
  <c r="B51" i="72"/>
  <c r="N58" i="9"/>
  <c r="P57" i="9"/>
  <c r="E118" i="9"/>
  <c r="E4" i="52"/>
  <c r="B48" i="72"/>
  <c r="M55" i="9"/>
  <c r="C64" i="9"/>
  <c r="C63" i="9"/>
  <c r="C67" i="9"/>
  <c r="D59" i="9"/>
  <c r="N60" i="9"/>
  <c r="D55" i="9"/>
  <c r="M53" i="9"/>
  <c r="N57" i="9"/>
  <c r="N59" i="9"/>
  <c r="N61" i="9"/>
  <c r="C105" i="9"/>
  <c r="I4" i="52"/>
  <c r="D5" i="53"/>
  <c r="B20" i="72"/>
  <c r="D53" i="9"/>
  <c r="D52" i="9"/>
  <c r="C104" i="9"/>
  <c r="H4" i="52"/>
  <c r="H119" i="9"/>
  <c r="H5" i="52"/>
  <c r="H107" i="9"/>
  <c r="D122" i="9"/>
  <c r="D123" i="9"/>
  <c r="D9" i="5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<sst xmlns="http://schemas.openxmlformats.org/spreadsheetml/2006/main" count="7974" uniqueCount="3492">
  <si>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</si>
  <si>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</si>
  <si>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</si>
  <si>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</si>
  <si>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</si>
  <si>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</si>
  <si>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</si>
  <si>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</si>
  <si>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</si>
  <si>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</si>
  <si>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</si>
  <si>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</si>
  <si>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</si>
  <si>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</si>
  <si>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</si>
  <si>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</si>
  <si>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</si>
  <si>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</si>
  <si>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</si>
  <si>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</si>
  <si>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</si>
  <si>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</si>
  <si>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</si>
  <si>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</si>
  <si>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</si>
  <si>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</si>
  <si>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</si>
  <si>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</si>
  <si>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</si>
  <si>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</si>
  <si>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</si>
  <si>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</si>
  <si>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</si>
  <si>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</si>
  <si>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</si>
  <si>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</si>
  <si>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</si>
  <si>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</si>
  <si>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</si>
  <si>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</si>
  <si>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</si>
  <si>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</si>
  <si>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</si>
  <si>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</si>
  <si>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</si>
  <si>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</si>
  <si>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</si>
  <si>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</si>
  <si>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</si>
  <si>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</si>
  <si>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</si>
  <si>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</si>
  <si>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</si>
  <si>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</si>
  <si>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</si>
  <si>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</si>
  <si>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</si>
  <si>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</si>
  <si>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</si>
  <si>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</si>
  <si>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</si>
  <si>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</si>
  <si>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</si>
  <si>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</si>
  <si>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</si>
  <si>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</si>
  <si>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</si>
  <si>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</si>
  <si>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</si>
  <si>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</si>
  <si>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</si>
  <si>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</si>
  <si>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</si>
  <si>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</si>
  <si>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</si>
  <si>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</si>
  <si>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</si>
  <si>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</si>
  <si>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</si>
  <si>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</si>
  <si>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</si>
  <si>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</si>
  <si>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</si>
  <si>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</si>
  <si>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</si>
  <si>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</si>
  <si>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</si>
  <si>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</si>
  <si>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</si>
  <si>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</si>
  <si>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</si>
  <si>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</si>
  <si>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</si>
  <si>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</si>
  <si>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</si>
  <si>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</si>
  <si>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</si>
  <si>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</si>
  <si>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</si>
  <si>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</si>
  <si>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</si>
  <si>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</si>
  <si>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</si>
  <si>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</si>
  <si>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</si>
  <si>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</si>
  <si>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</si>
  <si>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</si>
  <si>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</si>
  <si>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</si>
  <si>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</si>
  <si>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</si>
  <si>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</si>
  <si>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</si>
  <si>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</si>
  <si>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</si>
  <si>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</si>
  <si>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</si>
  <si>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</si>
  <si>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</si>
  <si>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</si>
  <si>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</si>
  <si>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</si>
  <si>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</si>
  <si>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</si>
  <si>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</si>
  <si>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</si>
  <si>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</si>
  <si>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</si>
  <si>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</si>
  <si>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</si>
  <si>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</si>
  <si>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</si>
  <si>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</si>
  <si>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</si>
  <si>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</si>
  <si>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</si>
  <si>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</si>
  <si>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</si>
  <si>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</si>
  <si>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</si>
  <si>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</si>
  <si>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</si>
  <si>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</si>
  <si>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</si>
  <si>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</si>
  <si>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</si>
  <si>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</si>
  <si>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</si>
  <si>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</si>
  <si>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</si>
  <si>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</si>
  <si>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</si>
  <si>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</si>
  <si>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</si>
  <si>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</si>
  <si>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</si>
  <si>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</si>
  <si>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</si>
  <si>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</si>
  <si>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</si>
  <si>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</si>
  <si>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</si>
  <si>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</si>
  <si>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</si>
  <si>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</si>
  <si>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</si>
  <si>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</si>
  <si>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</si>
  <si>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</si>
  <si>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</si>
  <si>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</si>
  <si>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</si>
  <si>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</si>
  <si>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</si>
  <si>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</si>
  <si>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</si>
  <si>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</si>
  <si>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</si>
  <si>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</si>
  <si>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</si>
  <si>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</si>
  <si>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</si>
  <si>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</si>
  <si>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</si>
  <si>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</si>
  <si>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</si>
  <si>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</si>
  <si>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</si>
  <si>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</si>
  <si>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</si>
  <si>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</si>
  <si>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</si>
  <si>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</si>
  <si>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</si>
  <si>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</si>
  <si>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</si>
  <si>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</si>
  <si>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</si>
  <si>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</si>
  <si>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</si>
  <si>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</si>
  <si>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</si>
  <si>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</si>
  <si>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</si>
  <si>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</si>
  <si>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</si>
  <si>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</si>
  <si>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</si>
  <si>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</si>
  <si>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</si>
  <si>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</si>
  <si>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</si>
  <si>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</si>
  <si>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</si>
  <si>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</si>
  <si>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</si>
  <si>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</si>
  <si>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</si>
  <si>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</si>
  <si>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</si>
  <si>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</si>
  <si>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</si>
  <si>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</si>
  <si>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</si>
  <si>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</si>
  <si>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</si>
  <si>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</si>
  <si>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</si>
  <si>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</si>
  <si>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</si>
  <si>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</si>
  <si>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</si>
  <si>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</si>
  <si>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</si>
  <si>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</si>
  <si>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</si>
  <si>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</si>
  <si>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</si>
  <si>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</si>
  <si>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</si>
  <si>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</si>
  <si>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</si>
  <si>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</si>
  <si>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</si>
  <si>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</si>
  <si>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</si>
  <si>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</si>
  <si>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</si>
  <si>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</si>
  <si>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</si>
  <si>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</si>
  <si>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</si>
  <si>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</si>
  <si>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</si>
  <si>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</si>
  <si>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</si>
  <si>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</si>
  <si>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</si>
  <si>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</si>
  <si>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</si>
  <si>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</si>
  <si>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</si>
  <si>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</si>
  <si>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</si>
  <si>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</si>
  <si>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</si>
  <si>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</si>
  <si>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</si>
  <si>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</si>
  <si>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</si>
  <si>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</si>
  <si>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</si>
  <si>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</si>
  <si>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</si>
  <si>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</si>
  <si>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</si>
  <si>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</si>
  <si>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</si>
  <si>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</si>
  <si>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</si>
  <si>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</si>
  <si>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</si>
  <si>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</si>
  <si>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</si>
  <si>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</si>
  <si>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</si>
  <si>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</si>
  <si>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</si>
  <si>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</si>
  <si>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</si>
  <si>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</si>
  <si>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</si>
  <si>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</si>
  <si>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</si>
  <si>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</si>
  <si>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</si>
  <si>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</si>
  <si>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</si>
  <si>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</si>
  <si>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</si>
  <si>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</si>
  <si>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</si>
  <si>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</si>
  <si>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</si>
  <si>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</si>
  <si>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</si>
  <si>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</si>
  <si>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</si>
  <si>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</si>
  <si>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</si>
  <si>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</si>
  <si>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</si>
  <si>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</si>
  <si>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</si>
  <si>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</si>
  <si>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</si>
  <si>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</si>
  <si>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</si>
  <si>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</si>
  <si>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</si>
  <si>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</si>
  <si>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</si>
  <si>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</si>
  <si>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</si>
  <si>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</si>
  <si>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</si>
  <si>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</si>
  <si>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</si>
  <si>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</si>
  <si>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</si>
  <si>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</si>
  <si>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</si>
  <si>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</si>
  <si>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</si>
  <si>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</si>
  <si>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</si>
  <si>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</si>
  <si>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</si>
  <si>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</si>
  <si>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</si>
  <si>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</si>
  <si>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</si>
  <si>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</si>
  <si>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</si>
  <si>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</si>
  <si>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</si>
  <si>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</si>
  <si>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</si>
  <si>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</si>
  <si>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</si>
  <si>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</si>
  <si>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</si>
  <si>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</si>
  <si>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</si>
  <si>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</si>
  <si>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</si>
  <si>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</si>
  <si>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</si>
  <si>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</si>
  <si>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</si>
  <si>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</si>
  <si>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</si>
  <si>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</si>
  <si>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</si>
  <si>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</si>
  <si>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</si>
  <si>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</si>
  <si>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</si>
  <si>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</si>
  <si>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</si>
  <si>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</si>
  <si>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</si>
  <si>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</si>
  <si>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</si>
  <si>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</si>
  <si>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</si>
  <si>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</si>
  <si>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</si>
  <si>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</si>
  <si>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</si>
  <si>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</si>
  <si>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</si>
  <si>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</si>
  <si>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</si>
  <si>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</si>
  <si>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</si>
  <si>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</si>
  <si>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</si>
  <si>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</si>
  <si>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</si>
  <si>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</si>
  <si>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</si>
  <si>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</si>
  <si>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</si>
  <si>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</si>
  <si>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</si>
  <si>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</si>
  <si>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</si>
  <si>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</si>
  <si>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</si>
  <si>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</si>
  <si>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</si>
  <si>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</si>
  <si>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</si>
  <si>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</si>
  <si>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</si>
  <si>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</si>
  <si>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</si>
  <si>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</si>
  <si>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</si>
  <si>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</si>
  <si>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</si>
  <si>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</si>
  <si>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</si>
  <si>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</si>
  <si>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</si>
  <si>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</si>
  <si>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</si>
  <si>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</si>
  <si>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</si>
  <si>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</si>
  <si>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</si>
  <si>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</si>
  <si>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</si>
  <si>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</si>
  <si>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</si>
  <si>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</si>
  <si>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</si>
  <si>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</si>
  <si>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</si>
  <si>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</si>
  <si>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</si>
  <si>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</si>
  <si>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</si>
  <si>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</si>
  <si>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</si>
  <si>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</si>
  <si>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</si>
  <si>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</si>
  <si>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</si>
  <si>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</si>
  <si>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</si>
  <si>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</si>
  <si>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</si>
  <si>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</si>
  <si>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</si>
  <si>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</si>
  <si>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</si>
  <si>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</si>
  <si>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</si>
  <si>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</si>
  <si>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</si>
  <si>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</si>
  <si>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</si>
  <si>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</si>
  <si>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</si>
  <si>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</si>
  <si>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</si>
  <si>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</si>
  <si>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</si>
  <si>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</si>
  <si>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</si>
  <si>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</si>
  <si>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</si>
  <si>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</si>
  <si>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</si>
  <si>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</si>
  <si>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</si>
  <si>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</si>
  <si>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</si>
  <si>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</si>
  <si>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</si>
  <si>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</si>
  <si>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</si>
  <si>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</si>
  <si>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</si>
  <si>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</si>
  <si>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</si>
  <si>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</si>
  <si>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</si>
  <si>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</si>
  <si>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</si>
  <si>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</si>
  <si>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</si>
  <si>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</si>
  <si>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</si>
  <si>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</si>
  <si>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</si>
  <si>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</si>
  <si>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</si>
  <si>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</si>
  <si>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</si>
  <si>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</si>
  <si>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</si>
  <si>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</si>
  <si>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</si>
  <si>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</si>
  <si>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</si>
  <si>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</si>
  <si>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</si>
  <si>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</si>
  <si>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</si>
  <si>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</si>
  <si>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</si>
  <si>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</si>
  <si>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</si>
  <si>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</si>
  <si>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</si>
  <si>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</si>
  <si>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</si>
  <si>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</si>
  <si>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</si>
  <si>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</si>
  <si>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</si>
  <si>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</si>
  <si>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</si>
  <si>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</si>
  <si>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</si>
  <si>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</si>
  <si>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</si>
  <si>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</si>
  <si>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</si>
  <si>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</si>
  <si>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</si>
  <si>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</si>
  <si>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</si>
  <si>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</si>
  <si>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</si>
  <si>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</si>
  <si>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</si>
  <si>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</si>
  <si>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</si>
  <si>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</si>
  <si>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</si>
  <si>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</si>
  <si>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</si>
  <si>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</si>
  <si>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</si>
  <si>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</si>
  <si>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</si>
  <si>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</si>
  <si>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</si>
  <si>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</si>
  <si>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</si>
  <si>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</si>
  <si>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</si>
  <si>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</si>
  <si>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</si>
  <si>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</si>
  <si>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</si>
  <si>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</si>
  <si>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</si>
  <si>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</si>
  <si>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</si>
  <si>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</si>
  <si>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</si>
  <si>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</si>
  <si>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</si>
  <si>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</si>
  <si>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</si>
  <si>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</si>
  <si>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</si>
  <si>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</si>
  <si>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</si>
  <si>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</si>
  <si>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</si>
  <si>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</si>
  <si>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</si>
  <si>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</si>
  <si>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</si>
  <si>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</si>
  <si>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</si>
  <si>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</si>
  <si>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</si>
  <si>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</si>
  <si>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</si>
  <si>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</si>
  <si>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</si>
  <si>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</si>
  <si>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</si>
  <si>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</si>
  <si>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</si>
  <si>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</si>
  <si>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</si>
  <si>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</si>
  <si>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</si>
  <si>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</si>
  <si>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</si>
  <si>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</si>
  <si>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</si>
  <si>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</si>
  <si>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</si>
  <si>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</si>
  <si>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</si>
  <si>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</si>
  <si>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</si>
  <si>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</si>
  <si>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</si>
  <si>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</si>
  <si>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</si>
  <si>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</si>
  <si>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</si>
  <si>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</si>
  <si>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</si>
  <si>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</si>
  <si>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</si>
  <si>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</si>
  <si>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</si>
  <si>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</si>
  <si>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</si>
  <si>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</si>
  <si>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</si>
  <si>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</si>
  <si>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</si>
  <si>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</si>
  <si>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</si>
  <si>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</si>
  <si>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</si>
  <si>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</si>
  <si>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</si>
  <si>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</si>
  <si>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</si>
  <si>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</si>
  <si>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</si>
  <si>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</si>
  <si>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</si>
  <si>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</si>
  <si>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</si>
  <si>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</si>
  <si>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</si>
  <si>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</si>
  <si>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</si>
  <si>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</si>
  <si>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</si>
  <si>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</si>
  <si>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</si>
  <si>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</si>
  <si>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</si>
  <si>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</si>
  <si>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</si>
  <si>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</si>
  <si>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</si>
  <si>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</si>
  <si>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</si>
  <si>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</si>
  <si>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</si>
  <si>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</si>
  <si>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</si>
  <si>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</si>
  <si>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</si>
  <si>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</si>
  <si>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</si>
  <si>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</si>
  <si>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</si>
  <si>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</si>
  <si>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</si>
  <si>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</si>
  <si>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</si>
  <si>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</si>
  <si>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</si>
  <si>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</si>
  <si>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</si>
  <si>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</si>
  <si>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</si>
  <si>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</si>
  <si>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</si>
  <si>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</si>
  <si>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</si>
  <si>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</si>
  <si>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</si>
  <si>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</si>
  <si>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</si>
  <si>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</si>
  <si>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</si>
  <si>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</si>
  <si>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</si>
  <si>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</si>
  <si>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</si>
  <si>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</si>
  <si>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</si>
  <si>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</si>
  <si>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</si>
  <si>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</si>
  <si>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</si>
  <si>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</si>
  <si>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</si>
  <si>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</si>
  <si>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</si>
  <si>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</si>
  <si>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</si>
  <si>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</si>
  <si>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</si>
  <si>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</si>
  <si>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</si>
  <si>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</si>
  <si>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</si>
  <si>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</si>
  <si>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</si>
  <si>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</si>
  <si>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</si>
  <si>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</si>
  <si>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</si>
  <si>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</si>
  <si>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</si>
  <si>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</si>
  <si>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</si>
  <si>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</si>
  <si>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</si>
  <si>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</si>
  <si>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</si>
  <si>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</si>
  <si>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</si>
  <si>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</si>
  <si>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</si>
  <si>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</si>
  <si>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</si>
  <si>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</si>
  <si>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</si>
  <si>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</si>
  <si>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</si>
  <si>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</si>
  <si>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</si>
  <si>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</si>
  <si>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</si>
  <si>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</si>
  <si>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</si>
  <si>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</si>
  <si>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</si>
  <si>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</si>
  <si>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</si>
  <si>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</si>
  <si>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</si>
  <si>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</si>
  <si>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</si>
  <si>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</si>
  <si>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</si>
  <si>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</si>
  <si>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</si>
  <si>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</si>
  <si>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</si>
  <si>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</si>
  <si>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</si>
  <si>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</si>
  <si>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</si>
  <si>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</si>
  <si>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</si>
  <si>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</si>
  <si>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</si>
  <si>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</si>
  <si>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</si>
  <si>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</si>
  <si>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</si>
  <si>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</si>
  <si>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</si>
  <si>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</si>
  <si>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</si>
  <si>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</si>
  <si>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</si>
  <si>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</si>
  <si>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</si>
  <si>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</si>
  <si>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</si>
  <si>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</si>
  <si>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</si>
  <si>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</si>
  <si>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</si>
  <si>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</si>
  <si>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</si>
  <si>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</si>
  <si>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</si>
  <si>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</si>
  <si>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</si>
  <si>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</si>
  <si>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</si>
  <si>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</si>
  <si>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</si>
  <si>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</si>
  <si>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</si>
  <si>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</si>
  <si>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</si>
  <si>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</si>
  <si>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</si>
  <si>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</si>
  <si>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</si>
  <si>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</si>
  <si>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</si>
  <si>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</si>
  <si>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</si>
  <si>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</si>
  <si>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</si>
  <si>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</si>
  <si>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</si>
  <si>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</si>
  <si>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</si>
  <si>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</si>
  <si>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</si>
  <si>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</si>
  <si>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</si>
  <si>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</si>
  <si>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</si>
  <si>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</si>
  <si>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</si>
  <si>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</si>
  <si>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</si>
  <si>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</si>
  <si>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</si>
  <si>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</si>
  <si>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</si>
  <si>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</si>
  <si>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</si>
  <si>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</si>
  <si>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</si>
  <si>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</si>
  <si>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</si>
  <si>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</si>
  <si>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</si>
  <si>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</si>
  <si>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</si>
  <si>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</si>
  <si>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</si>
  <si>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</si>
  <si>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</si>
  <si>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</si>
  <si>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</si>
  <si>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</si>
  <si>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</si>
  <si>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</si>
  <si>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</si>
  <si>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</si>
  <si>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</si>
  <si>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</si>
  <si>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</si>
  <si>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</si>
  <si>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</si>
  <si>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</si>
  <si>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</si>
  <si>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</si>
  <si>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</si>
  <si>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</si>
  <si>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</si>
  <si>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</si>
  <si>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</si>
  <si>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</si>
  <si>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</si>
  <si>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</si>
  <si>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</si>
  <si>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</si>
  <si>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</si>
  <si>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</si>
  <si>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</si>
  <si>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</si>
  <si>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</si>
  <si>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</si>
  <si>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</si>
  <si>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</si>
  <si>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</si>
  <si>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</si>
  <si>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</si>
  <si>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</si>
  <si>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</si>
  <si>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</si>
  <si>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</si>
  <si>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</si>
  <si>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</si>
  <si>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</si>
  <si>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</si>
  <si>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</si>
  <si>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</si>
  <si>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</si>
  <si>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</si>
  <si>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</si>
  <si>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</si>
  <si>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</si>
  <si>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</si>
  <si>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</si>
  <si>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</si>
  <si>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</si>
  <si>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</si>
  <si>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</si>
  <si>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</si>
  <si>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</si>
  <si>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</si>
  <si>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</si>
  <si>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</si>
  <si>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</si>
  <si>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</si>
  <si>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</si>
  <si>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</si>
  <si>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</si>
  <si>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</si>
  <si>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</si>
  <si>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</si>
  <si>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</si>
  <si>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</si>
  <si>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</si>
  <si>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</si>
  <si>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</si>
  <si>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</si>
  <si>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</si>
  <si>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</si>
  <si>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</si>
  <si>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</si>
  <si>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</si>
  <si>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</si>
  <si>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</si>
  <si>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</si>
  <si>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</si>
  <si>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</si>
  <si>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</si>
  <si>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</si>
  <si>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</si>
  <si>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</si>
  <si>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</si>
  <si>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</si>
  <si>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</si>
  <si>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</si>
  <si>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</si>
  <si>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</si>
  <si>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</si>
  <si>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</si>
  <si>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</si>
  <si>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</si>
  <si>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</si>
  <si>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</si>
  <si>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</si>
  <si>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</si>
  <si>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</si>
  <si>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</si>
  <si>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</si>
  <si>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</si>
  <si>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</si>
  <si>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</si>
  <si>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</si>
  <si>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</si>
  <si>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</si>
  <si>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</si>
  <si>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</si>
  <si>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</si>
  <si>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</si>
  <si>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</si>
  <si>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</si>
  <si>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</si>
  <si>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</si>
  <si>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</si>
  <si>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</si>
  <si>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</si>
  <si>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</si>
  <si>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</si>
  <si>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</si>
  <si>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</si>
  <si>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</si>
  <si>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</si>
  <si>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</si>
  <si>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</si>
  <si>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</si>
  <si>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</si>
  <si>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</si>
  <si>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</si>
  <si>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</si>
  <si>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</si>
  <si>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</si>
  <si>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</si>
  <si>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</si>
  <si>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</si>
  <si>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</si>
  <si>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</si>
  <si>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</si>
  <si>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</si>
  <si>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</si>
  <si>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</si>
  <si>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</si>
  <si>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</si>
  <si>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</si>
  <si>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</si>
  <si>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</si>
  <si>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</si>
  <si>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</si>
  <si>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</si>
  <si>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</si>
  <si>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</si>
  <si>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</si>
  <si>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</si>
  <si>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</si>
  <si>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</si>
  <si>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</si>
  <si>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</si>
  <si>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</si>
  <si>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</si>
  <si>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</si>
  <si>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</si>
  <si>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</si>
  <si>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</si>
  <si>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</si>
  <si>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</si>
  <si>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</si>
  <si>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</si>
  <si>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</si>
  <si>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</si>
  <si>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</si>
  <si>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</si>
  <si>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</si>
  <si>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</si>
  <si>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</si>
  <si>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</si>
  <si>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</si>
  <si>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</si>
  <si>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</si>
  <si>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</si>
  <si>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</si>
  <si>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</si>
  <si>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</si>
  <si>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</si>
  <si>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</si>
  <si>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</si>
  <si>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</si>
  <si>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</si>
  <si>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</si>
  <si>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</si>
  <si>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</si>
  <si>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</si>
  <si>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</si>
  <si>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</si>
  <si>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</si>
  <si>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</si>
  <si>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</si>
  <si>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</si>
  <si>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</si>
  <si>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</si>
  <si>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</si>
  <si>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</si>
  <si>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</si>
  <si>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</si>
  <si>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</si>
  <si>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</si>
  <si>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</si>
  <si>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</si>
  <si>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</si>
  <si>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</si>
  <si>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</si>
  <si>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</si>
  <si>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</si>
  <si>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</si>
  <si>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</si>
  <si>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</si>
  <si>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</si>
  <si>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</si>
  <si>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</si>
  <si>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</si>
  <si>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</si>
  <si>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</si>
  <si>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</si>
  <si>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</si>
  <si>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</si>
  <si>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</si>
  <si>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</si>
  <si>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</si>
  <si>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</si>
  <si>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</si>
  <si>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</si>
  <si>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</si>
  <si>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</si>
  <si>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</si>
  <si>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</si>
  <si>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</si>
  <si>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</si>
  <si>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</si>
  <si>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</si>
  <si>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</si>
  <si>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</si>
  <si>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</si>
  <si>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</si>
  <si>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</si>
  <si>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</si>
  <si>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</si>
  <si>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</si>
  <si>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</si>
  <si>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</si>
  <si>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</si>
  <si>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</si>
  <si>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</si>
  <si>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</si>
  <si>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</si>
  <si>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</si>
  <si>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</si>
  <si>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</si>
  <si>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</si>
  <si>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</si>
  <si>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</si>
  <si>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</si>
  <si>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</si>
  <si>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</si>
  <si>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</si>
  <si>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</si>
  <si>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</si>
  <si>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</si>
  <si>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</si>
  <si>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</si>
  <si>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</si>
  <si>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</si>
  <si>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</si>
  <si>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</si>
  <si>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</si>
  <si>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</si>
  <si>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</si>
  <si>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</si>
  <si>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</si>
  <si>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</si>
  <si>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</si>
  <si>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</si>
  <si>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</si>
  <si>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</si>
  <si>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</si>
  <si>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</si>
  <si>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</si>
  <si>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</si>
  <si>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</si>
  <si>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</si>
  <si>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</si>
  <si>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</si>
  <si>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</si>
  <si>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</si>
  <si>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</si>
  <si>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</si>
  <si>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</si>
  <si>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</si>
  <si>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</si>
  <si>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</si>
  <si>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</si>
  <si>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</si>
  <si>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</si>
  <si>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</si>
  <si>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</si>
  <si>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</si>
  <si>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</si>
  <si>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</si>
  <si>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</si>
  <si>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</si>
  <si>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</si>
  <si>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</si>
  <si>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</si>
  <si>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</si>
  <si>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</si>
  <si>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</si>
  <si>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</si>
  <si>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</si>
  <si>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</si>
  <si>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</si>
  <si>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</si>
  <si>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</si>
  <si>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</si>
  <si>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</si>
  <si>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</si>
  <si>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</si>
  <si>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</si>
  <si>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</si>
  <si>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</si>
  <si>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</si>
  <si>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</si>
  <si>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</si>
  <si>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</si>
  <si>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</si>
  <si>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</si>
  <si>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</si>
  <si>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</si>
  <si>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</si>
  <si>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</si>
  <si>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</si>
  <si>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</si>
  <si>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</si>
  <si>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</si>
  <si>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</si>
  <si>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</si>
  <si>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</si>
  <si>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</si>
  <si>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</si>
  <si>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</si>
  <si>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</si>
  <si>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</si>
  <si>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</si>
  <si>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</si>
  <si>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</si>
  <si>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</si>
  <si>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</si>
  <si>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</si>
  <si>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</si>
  <si>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</si>
  <si>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</si>
  <si>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</si>
  <si>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</si>
  <si>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</si>
  <si>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</si>
  <si>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</si>
  <si>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</si>
  <si>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</si>
  <si>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</si>
  <si>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</si>
  <si>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</si>
  <si>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</si>
  <si>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</si>
  <si>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</si>
  <si>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</si>
  <si>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</si>
  <si>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</si>
  <si>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</si>
  <si>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</si>
  <si>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</si>
  <si>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</si>
  <si>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</si>
  <si>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</si>
  <si>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</si>
  <si>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</si>
  <si>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</si>
  <si>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</si>
  <si>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</si>
  <si>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</si>
  <si>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</si>
  <si>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</si>
  <si>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</si>
  <si>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</si>
  <si>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</si>
  <si>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</si>
  <si>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</si>
  <si>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</si>
  <si>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</si>
  <si>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</si>
  <si>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</si>
  <si>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</si>
  <si>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</si>
  <si>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</si>
  <si>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</si>
  <si>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</si>
  <si>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</si>
  <si>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</si>
  <si>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</si>
  <si>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</si>
  <si>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</si>
  <si>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</si>
  <si>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</si>
  <si>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</si>
  <si>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</si>
  <si>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</si>
  <si>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</si>
  <si>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</si>
  <si>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</si>
  <si>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</si>
  <si>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</si>
  <si>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</si>
  <si>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</si>
  <si>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</si>
  <si>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</si>
  <si>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</si>
  <si>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</si>
  <si>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</si>
  <si>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</si>
  <si>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</si>
  <si>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</si>
  <si>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</si>
  <si>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</si>
  <si>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</si>
  <si>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</si>
  <si>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</si>
  <si>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</si>
  <si>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</si>
  <si>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</si>
  <si>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</si>
  <si>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</si>
  <si>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</si>
  <si>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</si>
  <si>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</si>
  <si>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</si>
  <si>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</si>
  <si>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</si>
  <si>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</si>
  <si>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</si>
  <si>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</si>
  <si>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</si>
  <si>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</si>
  <si>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</si>
  <si>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</si>
  <si>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</si>
  <si>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</si>
  <si>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</si>
  <si>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</si>
  <si>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</si>
  <si>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</si>
  <si>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</si>
  <si>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</si>
  <si>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</si>
  <si>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</si>
  <si>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</si>
  <si>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</si>
  <si>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</si>
  <si>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</si>
  <si>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</si>
  <si>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</si>
  <si>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</si>
  <si>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</si>
  <si>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</si>
  <si>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</si>
  <si>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</si>
  <si>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</si>
  <si>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</si>
  <si>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</si>
  <si>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</si>
  <si>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</si>
  <si>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</si>
  <si>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</si>
  <si>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</si>
  <si>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</si>
  <si>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</si>
  <si>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</si>
  <si>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</si>
  <si>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</si>
  <si>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</si>
  <si>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</si>
  <si>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</si>
  <si>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</si>
  <si>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</si>
  <si>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</si>
  <si>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</si>
  <si>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</si>
  <si>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</si>
  <si>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</si>
  <si>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</si>
  <si>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</si>
  <si>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</si>
  <si>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</si>
  <si>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</si>
  <si>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</si>
  <si>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</si>
  <si>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</si>
  <si>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</si>
  <si>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</si>
  <si>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</si>
  <si>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</si>
  <si>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</si>
  <si>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</si>
  <si>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</si>
  <si>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</si>
  <si>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</si>
  <si>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</si>
  <si>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</si>
  <si>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</si>
  <si>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</si>
  <si>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</si>
  <si>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</si>
  <si>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</si>
  <si>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</si>
  <si>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</si>
  <si>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</si>
  <si>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</si>
  <si>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</si>
  <si>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</si>
  <si>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</si>
  <si>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</si>
  <si>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</si>
  <si>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</si>
  <si>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</si>
  <si>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</si>
  <si>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</si>
  <si>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</si>
  <si>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</si>
  <si>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</si>
  <si>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</si>
  <si>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</si>
  <si>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</si>
  <si>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</si>
  <si>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</si>
  <si>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</si>
  <si>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</si>
  <si>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</si>
  <si>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</si>
  <si>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</si>
  <si>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</si>
  <si>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</si>
  <si>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</si>
  <si>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</si>
  <si>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</si>
  <si>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</si>
  <si>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</si>
  <si>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</si>
  <si>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</si>
  <si>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</si>
  <si>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</si>
  <si>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</si>
  <si>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</si>
  <si>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</si>
  <si>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</si>
  <si>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</si>
  <si>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</si>
  <si>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</si>
  <si>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</si>
  <si>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</si>
  <si>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</si>
  <si>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</si>
  <si>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</si>
  <si>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</si>
  <si>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</si>
  <si>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</si>
  <si>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</si>
  <si>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</si>
  <si>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</si>
  <si>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</si>
  <si>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</si>
  <si>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</si>
  <si>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</si>
  <si>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</si>
  <si>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</si>
  <si>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</si>
  <si>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</si>
  <si>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</si>
  <si>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</si>
  <si>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</si>
  <si>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</si>
  <si>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</si>
  <si>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</si>
  <si>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</si>
  <si>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</si>
  <si>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</si>
  <si>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</si>
  <si>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</si>
  <si>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</si>
  <si>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</si>
  <si>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</si>
  <si>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</si>
  <si>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</si>
  <si>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</si>
  <si>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</si>
  <si>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</si>
  <si>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</si>
  <si>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</si>
  <si>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</si>
  <si>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</si>
  <si>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</si>
  <si>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</si>
  <si>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</si>
  <si>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</si>
  <si>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</si>
  <si>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</si>
  <si>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</si>
  <si>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</si>
  <si>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</si>
  <si>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</si>
  <si>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</si>
  <si>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</si>
  <si>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</si>
  <si>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</si>
  <si>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</si>
  <si>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</si>
  <si>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</si>
  <si>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</si>
  <si>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</si>
  <si>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</si>
  <si>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</si>
  <si>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</si>
  <si>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</si>
  <si>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</si>
  <si>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</si>
  <si>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</si>
  <si>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</si>
  <si>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</si>
  <si>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</si>
  <si>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</si>
  <si>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</si>
  <si>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</si>
  <si>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</si>
  <si>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</si>
  <si>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</si>
  <si>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</si>
  <si>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</si>
  <si>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</si>
  <si>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</si>
  <si>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</si>
  <si>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</si>
  <si>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</si>
  <si>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</si>
  <si>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</si>
  <si>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</si>
  <si>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</si>
  <si>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</si>
  <si>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</si>
  <si>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</si>
  <si>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</si>
  <si>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</si>
  <si>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</si>
  <si>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</si>
  <si>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</si>
  <si>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</si>
  <si>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</si>
  <si>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</si>
  <si>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</si>
  <si>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</si>
  <si>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</si>
  <si>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</si>
  <si>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</si>
  <si>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</si>
  <si>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</si>
  <si>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</si>
  <si>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</si>
  <si>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</si>
  <si>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</si>
  <si>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</si>
  <si>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</si>
  <si>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</si>
  <si>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</si>
  <si>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</si>
  <si>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</si>
  <si>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</si>
  <si>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</si>
  <si>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</si>
  <si>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</si>
  <si>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</si>
  <si>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</si>
  <si>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</si>
  <si>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</si>
  <si>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</si>
  <si>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</si>
  <si>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</si>
  <si>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</si>
  <si>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</si>
  <si>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</si>
  <si>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</si>
  <si>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</si>
  <si>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</si>
  <si>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</si>
  <si>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</si>
  <si>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</si>
  <si>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</si>
  <si>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</si>
  <si>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</si>
  <si>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</si>
  <si>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</si>
  <si>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</si>
  <si>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</si>
  <si>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</si>
  <si>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</si>
  <si>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</si>
  <si>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</si>
  <si>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</si>
  <si>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</si>
  <si>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</si>
  <si>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</si>
  <si>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</si>
  <si>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</si>
  <si>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</si>
  <si>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</si>
  <si>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</si>
  <si>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</si>
  <si>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</si>
  <si>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</si>
  <si>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</si>
  <si>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</si>
  <si>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</si>
  <si>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</si>
  <si>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</si>
  <si>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</si>
  <si>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</si>
  <si>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</si>
  <si>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</si>
  <si>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</si>
  <si>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</si>
  <si>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</si>
  <si>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</si>
  <si>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</si>
  <si>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</si>
  <si>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</si>
  <si>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</si>
  <si>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</si>
  <si>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</si>
  <si>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</si>
  <si>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</si>
  <si>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</si>
  <si>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</si>
  <si>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</si>
  <si>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</si>
  <si>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</si>
  <si>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</si>
  <si>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</si>
  <si>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</si>
  <si>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</si>
  <si>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</si>
  <si>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</si>
  <si>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</si>
  <si>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</si>
  <si>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</si>
  <si>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</si>
  <si>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</si>
  <si>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</si>
  <si>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</si>
  <si>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</si>
  <si>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</si>
  <si>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</si>
  <si>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</si>
  <si>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</si>
  <si>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</si>
  <si>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</si>
  <si>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</si>
  <si>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</si>
  <si>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</si>
  <si>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</si>
  <si>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</si>
  <si>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</si>
  <si>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</si>
  <si>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</si>
  <si>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</si>
  <si>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</si>
  <si>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</si>
  <si>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</si>
  <si>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</si>
  <si>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</si>
  <si>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</si>
  <si>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</si>
  <si>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</si>
  <si>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</si>
  <si>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</si>
  <si>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</si>
  <si>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</si>
  <si>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</si>
  <si>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</si>
  <si>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</si>
  <si>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</si>
  <si>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</si>
  <si>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</si>
  <si>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</si>
  <si>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</si>
  <si>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</si>
  <si>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</si>
  <si>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</si>
  <si>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</si>
  <si>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</si>
  <si>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</si>
  <si>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</si>
  <si>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</si>
  <si>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</si>
  <si>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</si>
  <si>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</si>
  <si>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</si>
  <si>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</si>
  <si>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</si>
  <si>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</si>
  <si>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</si>
  <si>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</si>
  <si>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</si>
  <si>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</si>
  <si>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</si>
  <si>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</si>
  <si>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</si>
  <si>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</si>
  <si>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</si>
  <si>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</si>
  <si>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</si>
  <si>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</si>
  <si>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</si>
  <si>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</si>
  <si>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</si>
  <si>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</si>
  <si>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</si>
  <si>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</si>
  <si>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</si>
  <si>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</si>
  <si>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</si>
  <si>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</si>
  <si>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</si>
  <si>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</si>
  <si>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</si>
  <si>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</si>
  <si>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</si>
  <si>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</si>
  <si>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</si>
  <si>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</si>
  <si>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</si>
  <si>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</si>
  <si>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</si>
  <si>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</si>
  <si>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</si>
  <si>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</si>
  <si>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</si>
  <si>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</si>
  <si>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</si>
  <si>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</si>
  <si>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</si>
  <si>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</si>
  <si>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</si>
  <si>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</si>
  <si>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</si>
  <si>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</si>
  <si>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</si>
  <si>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</si>
  <si>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</si>
  <si>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</si>
  <si>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</si>
  <si>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</si>
  <si>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</si>
  <si>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</si>
  <si>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</si>
  <si>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</si>
  <si>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</si>
  <si>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</si>
  <si>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</si>
  <si>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</si>
  <si>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</si>
  <si>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</si>
  <si>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</si>
  <si>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</si>
  <si>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</si>
  <si>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</si>
  <si>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</si>
  <si>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</si>
  <si>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</si>
  <si>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</si>
  <si>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</si>
  <si>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</si>
  <si>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</si>
  <si>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</si>
  <si>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</si>
  <si>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</si>
  <si>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</si>
  <si>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</si>
  <si>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</si>
  <si>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</si>
  <si>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</si>
  <si>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</si>
  <si>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</si>
  <si>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</si>
  <si>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</si>
  <si>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</si>
  <si>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</si>
  <si>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</si>
  <si>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</si>
  <si>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</si>
  <si>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</si>
  <si>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</si>
  <si>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</si>
  <si>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</si>
  <si>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</si>
  <si>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</si>
  <si>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</si>
  <si>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</si>
  <si>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</si>
  <si>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</si>
  <si>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</si>
  <si>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</si>
  <si>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</si>
  <si>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</si>
  <si>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</si>
  <si>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</si>
  <si>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</si>
  <si>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</si>
  <si>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</si>
  <si>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</si>
  <si>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</si>
  <si>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</si>
  <si>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</si>
  <si>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</si>
  <si>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</si>
  <si>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</si>
  <si>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</si>
  <si>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</si>
  <si>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</si>
  <si>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</si>
  <si>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</si>
  <si>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</si>
  <si>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</si>
  <si>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</si>
  <si>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</si>
  <si>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</si>
  <si>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</si>
  <si>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</si>
  <si>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</si>
  <si>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</si>
  <si>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</si>
  <si>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</si>
  <si>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</si>
  <si>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</si>
  <si>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</si>
  <si>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</si>
  <si>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</si>
  <si>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</si>
  <si>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</si>
  <si>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</si>
  <si>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</si>
  <si>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</si>
  <si>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</si>
  <si>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</si>
  <si>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</si>
  <si>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</si>
  <si>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</si>
  <si>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</si>
  <si>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</si>
  <si>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</si>
  <si>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</si>
  <si>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</si>
  <si>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</si>
  <si>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</si>
  <si>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</si>
  <si>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</si>
  <si>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</si>
  <si>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</si>
  <si>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</si>
  <si>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</si>
  <si>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</si>
  <si>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</si>
  <si>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</si>
  <si>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</si>
  <si>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</si>
  <si>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</si>
  <si>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</si>
  <si>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</si>
  <si>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</si>
  <si>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</si>
  <si>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</si>
  <si>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</si>
  <si>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</si>
  <si>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</si>
  <si>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</si>
  <si>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</si>
  <si>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</si>
  <si>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</si>
  <si>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</si>
  <si>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</si>
  <si>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</si>
  <si>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</si>
  <si>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</si>
  <si>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</si>
  <si>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</si>
  <si>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</si>
  <si>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</si>
  <si>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</si>
  <si>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</si>
  <si>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</si>
  <si>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</si>
  <si>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</si>
  <si>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</si>
  <si>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</si>
  <si>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</si>
  <si>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</si>
  <si>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</si>
  <si>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</si>
  <si>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</si>
  <si>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</si>
  <si>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</si>
  <si>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</si>
  <si>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</si>
  <si>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</si>
  <si>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</si>
  <si>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</si>
  <si>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</si>
  <si>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</si>
  <si>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</si>
  <si>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</si>
  <si>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</si>
  <si>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</si>
  <si>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</si>
  <si>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</si>
  <si>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</si>
  <si>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</si>
  <si>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</si>
  <si>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</si>
  <si>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</si>
  <si>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</si>
  <si>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</si>
  <si>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</si>
  <si>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</si>
  <si>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</si>
  <si>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</si>
  <si>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</si>
  <si>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</si>
  <si>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</si>
  <si>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</si>
  <si>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</si>
  <si>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</si>
  <si>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</si>
  <si>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</si>
  <si>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</si>
  <si>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</si>
  <si>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</si>
  <si>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</si>
  <si>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</si>
  <si>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</si>
  <si>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</si>
  <si>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</si>
  <si>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</si>
  <si>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</si>
  <si>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</si>
  <si>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</si>
  <si>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</si>
  <si>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</si>
  <si>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</si>
  <si>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</si>
  <si>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</si>
  <si>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</si>
  <si>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</si>
  <si>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</si>
  <si>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</si>
  <si>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</si>
  <si>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</si>
  <si>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</si>
  <si>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</si>
  <si>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</si>
  <si>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</si>
  <si>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</si>
  <si>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</si>
  <si>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</si>
  <si>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</si>
  <si>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</si>
  <si>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</si>
  <si>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</si>
  <si>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</si>
  <si>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</si>
  <si>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</si>
  <si>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</si>
  <si>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</si>
  <si>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</si>
  <si>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</si>
  <si>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</si>
  <si>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</si>
  <si>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</si>
  <si>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</si>
  <si>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</si>
  <si>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</si>
  <si>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</si>
  <si>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</si>
  <si>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</si>
  <si>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</si>
  <si>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</si>
  <si>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</si>
  <si>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</si>
  <si>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</si>
  <si>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</si>
  <si>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</si>
  <si>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</si>
  <si>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</si>
  <si>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</si>
  <si>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</si>
  <si>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</si>
  <si>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</si>
  <si>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</si>
  <si>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</si>
  <si>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</si>
  <si>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</si>
  <si>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</si>
  <si>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</si>
  <si>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</si>
  <si>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</si>
  <si>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</si>
  <si>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</si>
  <si>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</si>
  <si>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</si>
  <si>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</si>
  <si>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</si>
  <si>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</si>
  <si>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</si>
  <si>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</si>
  <si>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</si>
  <si>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</si>
  <si>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</si>
  <si>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</si>
  <si>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</si>
  <si>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</si>
  <si>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</si>
  <si>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</si>
  <si>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</si>
  <si>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</si>
  <si>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</si>
  <si>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</si>
  <si>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</si>
  <si>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</si>
  <si>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</si>
  <si>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</si>
  <si>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</si>
  <si>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</si>
  <si>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</si>
  <si>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</si>
  <si>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</si>
  <si>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</si>
  <si>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</si>
  <si>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</si>
  <si>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</si>
  <si>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</si>
  <si>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</si>
  <si>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</si>
  <si>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</si>
  <si>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</si>
  <si>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</si>
  <si>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</si>
  <si>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</si>
  <si>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</si>
  <si>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</si>
  <si>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</si>
  <si>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</si>
  <si>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</si>
  <si>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</si>
  <si>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</si>
  <si>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</si>
  <si>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</si>
  <si>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</si>
  <si>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</si>
  <si>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</si>
  <si>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</si>
  <si>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</si>
  <si>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</si>
  <si>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</si>
  <si>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</si>
  <si>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</si>
  <si>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</si>
  <si>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</si>
  <si>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</si>
  <si>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</si>
  <si>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</si>
  <si>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</si>
  <si>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</si>
  <si>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</si>
  <si>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</si>
  <si>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</si>
  <si>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</si>
  <si>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</si>
  <si>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</si>
  <si>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</si>
  <si>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</si>
  <si>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</si>
  <si>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</si>
  <si>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</si>
  <si>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</si>
  <si>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</si>
  <si>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</si>
  <si>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</si>
  <si>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</si>
  <si>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</si>
  <si>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</si>
  <si>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</si>
  <si>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</si>
  <si>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</si>
  <si>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</si>
  <si>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</si>
  <si>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</si>
  <si>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</si>
  <si>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</si>
  <si>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</si>
  <si>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</si>
  <si>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</si>
  <si>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</si>
  <si>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</si>
  <si>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</si>
  <si>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</si>
  <si>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</si>
  <si>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</si>
  <si>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</si>
  <si>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</si>
  <si>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</si>
  <si>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</si>
  <si>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</si>
  <si>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</si>
  <si>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</si>
  <si>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</si>
  <si>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</si>
  <si>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</si>
  <si>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</si>
  <si>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</si>
  <si>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</si>
  <si>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</si>
  <si>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</si>
  <si>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</si>
  <si>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</si>
  <si>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</si>
  <si>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</si>
  <si>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</si>
  <si>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</si>
  <si>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</si>
  <si>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</si>
  <si>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</si>
  <si>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</si>
  <si>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</si>
  <si>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</si>
  <si>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</si>
  <si>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</si>
  <si>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</si>
  <si>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</si>
  <si>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</si>
  <si>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</si>
  <si>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</si>
  <si>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</si>
  <si>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</si>
  <si>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</si>
  <si>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</si>
  <si>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</si>
  <si>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</si>
  <si>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</si>
  <si>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</si>
  <si>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</si>
  <si>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</si>
  <si>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</si>
  <si>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</si>
  <si>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</si>
  <si>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</si>
  <si>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</si>
  <si>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</si>
  <si>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</si>
  <si>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</si>
  <si>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</si>
  <si>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</si>
  <si>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</si>
  <si>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</si>
  <si>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</si>
  <si>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</si>
  <si>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</si>
  <si>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</si>
  <si>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</si>
  <si>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</si>
  <si>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</si>
  <si>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</si>
  <si>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</si>
  <si>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</si>
  <si>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</si>
  <si>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</si>
  <si>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</si>
  <si>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</si>
  <si>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</si>
  <si>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</si>
  <si>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</si>
  <si>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</si>
  <si>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</si>
  <si>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</si>
  <si>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</si>
  <si>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</si>
  <si>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</si>
  <si>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</si>
  <si>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</si>
  <si>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</si>
  <si>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</si>
  <si>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</si>
  <si>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</si>
  <si>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</si>
  <si>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</si>
  <si>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</si>
  <si>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</si>
  <si>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</si>
  <si>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</si>
  <si>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</si>
  <si>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</si>
  <si>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</si>
  <si>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</si>
  <si>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</si>
  <si>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</si>
  <si>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</si>
  <si>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</si>
  <si>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</si>
  <si>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</si>
  <si>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</si>
  <si>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</si>
  <si>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</si>
  <si>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</si>
  <si>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</si>
  <si>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</si>
  <si>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</si>
  <si>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</si>
  <si>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</si>
  <si>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</si>
  <si>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</si>
  <si>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</si>
  <si>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</si>
  <si>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</si>
  <si>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</si>
  <si>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</si>
  <si>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</si>
  <si>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</si>
  <si>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</si>
  <si>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</si>
  <si>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</si>
  <si>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</si>
  <si>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</si>
  <si>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</si>
  <si>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</si>
  <si>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</si>
  <si>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</si>
  <si>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</si>
  <si>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</si>
  <si>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</si>
  <si>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</si>
  <si>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</si>
  <si>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</si>
  <si>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</si>
  <si>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</si>
  <si>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</si>
  <si>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</si>
  <si>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</si>
  <si>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</si>
  <si>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</si>
  <si>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</si>
  <si>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</si>
  <si>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</si>
  <si>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</si>
  <si>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</si>
  <si>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</si>
  <si>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</si>
  <si>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</si>
  <si>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</si>
  <si>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</si>
  <si>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</si>
  <si>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</si>
  <si>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</si>
  <si>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</si>
  <si>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</si>
  <si>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</si>
  <si>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</si>
  <si>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</si>
  <si>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</si>
  <si>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</si>
  <si>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</si>
  <si>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</si>
  <si>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</si>
  <si>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</si>
  <si>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</si>
  <si>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</si>
  <si>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</si>
  <si>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</si>
  <si>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</si>
  <si>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</si>
  <si>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</si>
  <si>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</si>
  <si>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</si>
  <si>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</si>
  <si>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</si>
  <si>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</si>
  <si>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</si>
  <si>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</si>
  <si>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</si>
  <si>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</si>
  <si>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</si>
  <si>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</si>
  <si>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</si>
  <si>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</si>
  <si>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</si>
  <si>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</si>
  <si>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</si>
  <si>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</si>
  <si>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</si>
  <si>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</si>
  <si>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</si>
  <si>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</si>
  <si>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</si>
  <si>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</si>
  <si>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</si>
  <si>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</si>
  <si>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</si>
  <si>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</si>
  <si>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</si>
  <si>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</si>
  <si>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</si>
  <si>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</si>
  <si>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</si>
  <si>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</si>
  <si>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</si>
  <si>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</si>
  <si>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</si>
  <si>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</si>
  <si>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</si>
  <si>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</si>
  <si>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</si>
  <si>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</si>
  <si>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</si>
  <si>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</si>
  <si>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</si>
  <si>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</si>
  <si>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</si>
  <si>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</si>
  <si>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</si>
  <si>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</si>
  <si>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</si>
  <si>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</si>
  <si>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</si>
  <si>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</si>
  <si>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</si>
  <si>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</si>
  <si>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</si>
  <si>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</si>
  <si>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</si>
  <si>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</si>
  <si>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</si>
  <si>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</si>
  <si>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</si>
  <si>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</si>
  <si>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</si>
  <si>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</si>
  <si>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</si>
  <si>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</si>
  <si>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</si>
  <si>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</si>
  <si>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</si>
  <si>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</si>
  <si>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</si>
  <si>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</si>
  <si>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</si>
  <si>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</si>
  <si>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</si>
  <si>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</si>
  <si>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</si>
  <si>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</si>
  <si>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</si>
  <si>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</si>
  <si>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</si>
  <si>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</si>
  <si>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</si>
  <si>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</si>
  <si>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</si>
  <si>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</si>
  <si>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</si>
  <si>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</si>
  <si>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</si>
  <si>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</si>
  <si>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</si>
  <si>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</si>
  <si>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</si>
  <si>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</si>
  <si>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</si>
  <si>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</si>
  <si>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</si>
  <si>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</si>
  <si>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</si>
  <si>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</si>
  <si>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</si>
  <si>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</si>
  <si>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</si>
  <si>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</si>
  <si>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</si>
  <si>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</si>
  <si>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</si>
  <si>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</si>
  <si>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</si>
  <si>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</si>
  <si>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</si>
  <si>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</si>
  <si>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</si>
  <si>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</si>
  <si>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</si>
  <si>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</si>
  <si>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</si>
  <si>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</si>
  <si>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</si>
  <si>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</si>
  <si>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</si>
  <si>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</si>
  <si>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</si>
  <si>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</si>
  <si>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</si>
  <si>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</si>
  <si>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</si>
  <si>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</si>
  <si>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</si>
  <si>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</si>
  <si>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</si>
  <si>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</si>
  <si>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</si>
  <si>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</si>
  <si>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</si>
  <si>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</si>
  <si>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</si>
  <si>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</si>
  <si>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</si>
  <si>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</si>
  <si>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</si>
  <si>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</si>
  <si>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</si>
  <si>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</si>
  <si>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</si>
  <si>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</si>
  <si>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</si>
  <si>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</si>
  <si>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</si>
  <si>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</si>
  <si>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</si>
  <si>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</si>
  <si>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</si>
  <si>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</si>
  <si>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</si>
  <si>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</si>
  <si>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</si>
  <si>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</si>
  <si>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</si>
  <si>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</si>
  <si>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</si>
  <si>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</si>
  <si>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</si>
  <si>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</si>
  <si>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</si>
  <si>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</si>
  <si>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</si>
  <si>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</si>
  <si>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</si>
  <si>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</si>
  <si>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</si>
  <si>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</si>
  <si>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</si>
  <si>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</si>
  <si>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</si>
  <si>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</si>
  <si>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</si>
  <si>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</si>
  <si>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</si>
  <si>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</si>
  <si>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</si>
  <si>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</si>
  <si>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</si>
  <si>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</si>
  <si>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</si>
  <si>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</si>
  <si>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</si>
  <si>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</si>
  <si>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</si>
  <si>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</si>
  <si>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</si>
  <si>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</si>
  <si>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</si>
  <si>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</si>
  <si>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</si>
  <si>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</si>
  <si>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</si>
  <si>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</si>
  <si>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</si>
  <si>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</si>
  <si>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</si>
  <si>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</si>
  <si>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</si>
  <si>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</si>
  <si>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</si>
  <si>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</si>
  <si>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</si>
  <si>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</si>
  <si>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</si>
  <si>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</si>
  <si>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</si>
  <si>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</si>
  <si>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</si>
  <si>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</si>
  <si>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</si>
  <si>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</si>
  <si>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</si>
  <si>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</si>
  <si>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</si>
  <si>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</si>
  <si>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</si>
  <si>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</si>
  <si>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</si>
  <si>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</si>
  <si>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</si>
  <si>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</si>
  <si>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</si>
  <si>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</si>
  <si>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</si>
  <si>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</si>
  <si>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</si>
  <si>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</si>
  <si>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</si>
  <si>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</si>
  <si>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</si>
  <si>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</si>
  <si>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</si>
  <si>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</si>
  <si>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</si>
  <si>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</si>
  <si>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</si>
  <si>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</si>
  <si>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</si>
  <si>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</si>
  <si>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</si>
  <si>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</si>
  <si>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</si>
  <si>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</si>
  <si>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</si>
  <si>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</si>
  <si>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</si>
  <si>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</si>
  <si>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</si>
  <si>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</si>
  <si>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</si>
  <si>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</si>
  <si>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</si>
  <si>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</si>
  <si>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</si>
  <si>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</si>
  <si>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</si>
  <si>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</si>
  <si>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</si>
  <si>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</si>
  <si>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</si>
  <si>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</si>
  <si>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</si>
  <si>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</si>
  <si>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</si>
  <si>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</si>
  <si>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</si>
  <si>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</si>
  <si>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</si>
  <si>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</si>
  <si>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</si>
  <si>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</si>
  <si>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</si>
  <si>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</si>
  <si>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</si>
  <si>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</si>
  <si>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</si>
  <si>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</si>
  <si>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</si>
  <si>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</si>
  <si>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</si>
  <si>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</si>
  <si>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</si>
  <si>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</si>
  <si>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</si>
  <si>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</si>
  <si>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</si>
  <si>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</si>
  <si>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</si>
  <si>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</si>
  <si>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</si>
  <si>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</si>
  <si>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</si>
  <si>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</si>
  <si>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</si>
  <si>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</si>
  <si>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</si>
  <si>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</si>
  <si>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</si>
  <si>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</si>
  <si>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</si>
  <si>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</si>
  <si>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</si>
  <si>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</si>
  <si>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</si>
  <si>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</si>
  <si>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</si>
  <si>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</si>
  <si>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</si>
  <si>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</si>
  <si>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</si>
  <si>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</si>
  <si>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</si>
  <si>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</si>
  <si>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</si>
  <si>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</si>
  <si>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</si>
  <si>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</si>
  <si>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</si>
  <si>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</si>
  <si>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</si>
  <si>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</si>
  <si>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</si>
  <si>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</si>
  <si>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</si>
  <si>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</si>
  <si>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</si>
  <si>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</si>
  <si>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</si>
  <si>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</si>
  <si>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</si>
  <si>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</si>
  <si>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</si>
  <si>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</si>
  <si>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</si>
  <si>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</si>
  <si>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</si>
  <si>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</si>
  <si>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</si>
  <si>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</si>
  <si>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</si>
  <si>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</si>
  <si>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</si>
  <si>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</si>
  <si>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</si>
  <si>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</si>
  <si>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</si>
  <si>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</si>
  <si>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</si>
  <si>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</si>
  <si>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</si>
  <si>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</si>
  <si>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</si>
  <si>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</si>
  <si>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</si>
  <si>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</si>
  <si>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</si>
  <si>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</si>
  <si>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</si>
  <si>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</si>
  <si>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</si>
  <si>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</si>
  <si>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</si>
  <si>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</si>
  <si>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</si>
  <si>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</si>
  <si>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</si>
  <si>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</si>
  <si>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</si>
  <si>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</si>
  <si>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</si>
  <si>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</si>
  <si>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</si>
  <si>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</si>
  <si>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</si>
  <si>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</si>
  <si>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</si>
  <si>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</si>
  <si>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</si>
  <si>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</si>
  <si>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</si>
  <si>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</si>
  <si>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</si>
  <si>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</si>
  <si>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</si>
  <si>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</si>
  <si>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</si>
  <si>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</si>
  <si>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</si>
  <si>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</si>
  <si>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</si>
  <si>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</si>
  <si>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</si>
  <si>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</si>
  <si>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</si>
  <si>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</si>
  <si>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</si>
  <si>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</si>
  <si>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</si>
  <si>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</si>
  <si>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</si>
  <si>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</si>
  <si>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</si>
  <si>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</si>
  <si>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</si>
  <si>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</si>
  <si>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</si>
  <si>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</si>
  <si>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</si>
  <si>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</si>
  <si>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</si>
  <si>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</si>
  <si>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</si>
  <si>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</si>
  <si>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</si>
  <si>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</si>
  <si>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</si>
  <si>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</si>
  <si>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</si>
  <si>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</si>
  <si>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</si>
  <si>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</si>
  <si>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</si>
  <si>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</si>
  <si>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</si>
  <si>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</si>
  <si>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</si>
  <si>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</si>
  <si>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</si>
  <si>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</si>
  <si>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</si>
  <si>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</si>
  <si>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</si>
  <si>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</si>
  <si>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</si>
  <si>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</si>
  <si>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</si>
  <si>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</si>
  <si>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</si>
  <si>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</si>
  <si>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</si>
  <si>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</si>
  <si>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</si>
  <si>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</si>
  <si>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</si>
  <si>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</si>
  <si>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</si>
  <si>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</si>
  <si>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</si>
  <si>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</si>
  <si>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</si>
  <si>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</si>
  <si>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</si>
  <si>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</si>
  <si>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</si>
  <si>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</si>
  <si>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</si>
  <si>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</si>
  <si>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</si>
  <si>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</si>
  <si>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</si>
  <si>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</si>
  <si>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</si>
  <si>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</si>
  <si>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</si>
  <si>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</si>
  <si>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</si>
  <si>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</si>
  <si>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</si>
  <si>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</si>
  <si>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</si>
  <si>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</si>
  <si>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</si>
  <si>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</si>
  <si>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</si>
  <si>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</si>
  <si>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</si>
  <si>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</si>
  <si>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</si>
  <si>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</si>
  <si>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</si>
  <si>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</si>
  <si>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</si>
  <si>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</si>
  <si>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</si>
  <si>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</si>
  <si>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</si>
  <si>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</si>
  <si>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</si>
  <si>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</si>
  <si>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</si>
  <si>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</si>
  <si>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</si>
  <si>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</si>
  <si>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</si>
  <si>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</si>
  <si>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</si>
  <si>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</si>
  <si>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</si>
  <si>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</si>
  <si>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</si>
  <si>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</si>
  <si>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</si>
  <si>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</si>
  <si>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</si>
  <si>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</si>
  <si>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</si>
  <si>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</si>
  <si>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</si>
  <si>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</si>
  <si>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</si>
  <si>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</si>
  <si>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</si>
  <si>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</si>
  <si>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</si>
  <si>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</si>
  <si>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</si>
  <si>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</si>
  <si>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</si>
  <si>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</si>
  <si>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</si>
  <si>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</si>
  <si>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</si>
  <si>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</si>
  <si>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</si>
  <si>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</si>
  <si>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</si>
  <si>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</si>
  <si>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</si>
  <si>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</si>
  <si>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</si>
  <si>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</si>
  <si>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</si>
  <si>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</si>
  <si>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</si>
  <si>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</si>
  <si>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</si>
  <si>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</si>
  <si>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</si>
  <si>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</si>
  <si>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</si>
  <si>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</si>
  <si>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</si>
  <si>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</si>
  <si>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</si>
  <si>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</si>
  <si>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</si>
  <si>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</si>
  <si>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</si>
  <si>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</si>
  <si>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</si>
  <si>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</si>
  <si>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</si>
  <si>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</si>
  <si>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</si>
  <si>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</si>
  <si>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</si>
  <si>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</si>
  <si>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</si>
  <si>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</si>
  <si>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</si>
  <si>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</si>
  <si>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</si>
  <si>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</si>
  <si>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</si>
  <si>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</si>
  <si>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</si>
  <si>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</si>
  <si>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</si>
  <si>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</si>
  <si>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</si>
  <si>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</si>
  <si>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</si>
  <si>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</si>
  <si>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</si>
  <si>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</si>
  <si>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</si>
  <si>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</si>
  <si>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</si>
  <si>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</si>
  <si>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</si>
  <si>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</si>
  <si>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</si>
  <si>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</si>
  <si>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</si>
  <si>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</si>
  <si>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</si>
  <si>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</si>
  <si>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</si>
  <si>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</si>
  <si>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</si>
  <si>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</si>
  <si>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</si>
  <si>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</si>
  <si>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</si>
  <si>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</si>
  <si>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</si>
  <si>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</si>
  <si>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</si>
  <si>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</si>
  <si>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</si>
  <si>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</si>
  <si>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</si>
  <si>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</si>
  <si>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</si>
  <si>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</si>
  <si>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</si>
  <si>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</si>
  <si>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</si>
  <si>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</si>
  <si>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</si>
  <si>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</si>
  <si>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</si>
  <si>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</si>
  <si>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</si>
  <si>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</si>
  <si>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</si>
  <si>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</si>
  <si>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</si>
  <si>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</si>
  <si>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</si>
  <si>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</si>
  <si>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</si>
  <si>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</si>
  <si>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</si>
  <si>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</si>
  <si>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</si>
  <si>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</si>
  <si>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</si>
  <si>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</si>
  <si>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</si>
  <si>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</si>
  <si>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</si>
  <si>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</si>
  <si>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</si>
  <si>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</si>
  <si>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</si>
  <si>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</si>
  <si>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</si>
  <si>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</si>
  <si>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</si>
  <si>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</si>
  <si>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</si>
  <si>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</si>
  <si>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</si>
  <si>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</si>
  <si>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</si>
  <si>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</si>
  <si>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</si>
  <si>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</si>
  <si>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</si>
  <si>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</si>
  <si>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</si>
  <si>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</si>
  <si>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</si>
  <si>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</si>
  <si>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</si>
  <si>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</si>
  <si>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</si>
  <si>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</si>
  <si>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</si>
  <si>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</si>
  <si>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</si>
  <si>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</si>
  <si>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</si>
  <si>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</si>
  <si>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</si>
  <si>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</si>
  <si>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</si>
  <si>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</si>
  <si>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</si>
  <si>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</si>
  <si>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</si>
  <si>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</si>
  <si>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</si>
  <si>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</si>
  <si>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</si>
  <si>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</si>
  <si>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</si>
  <si>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</si>
  <si>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</si>
  <si>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</si>
  <si>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</si>
  <si>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</si>
  <si>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</si>
  <si>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</si>
  <si>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</si>
  <si>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</si>
  <si>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</si>
  <si>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</si>
  <si>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</si>
  <si>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</si>
  <si>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</si>
  <si>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</si>
  <si>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</si>
  <si>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</si>
  <si>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</si>
  <si>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</si>
  <si>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</si>
  <si>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</si>
  <si>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</si>
  <si>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</si>
  <si>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</si>
  <si>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</si>
  <si>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</si>
  <si>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</si>
  <si>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</si>
  <si>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</si>
  <si>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</si>
  <si>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</si>
  <si>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</si>
  <si>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</si>
  <si>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</si>
  <si>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</si>
  <si>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</si>
  <si>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</si>
  <si>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</si>
  <si>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</si>
  <si>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</si>
  <si>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</si>
  <si>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</si>
  <si>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</si>
  <si>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</si>
  <si>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</si>
  <si>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</si>
  <si>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</si>
  <si>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</si>
  <si>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</si>
  <si>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</si>
  <si>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</si>
  <si>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</si>
  <si>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</si>
  <si>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</si>
  <si>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</si>
  <si>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</si>
  <si>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</si>
  <si>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</si>
  <si>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</si>
  <si>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</si>
  <si>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</si>
  <si>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</si>
  <si>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</si>
  <si>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</si>
  <si>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</si>
  <si>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</si>
  <si>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</si>
  <si>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</si>
  <si>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</si>
  <si>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</si>
  <si>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</si>
  <si>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</si>
  <si>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</si>
  <si>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</si>
  <si>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</si>
  <si>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</si>
  <si>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</si>
  <si>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</si>
  <si>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</si>
  <si>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</si>
  <si>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</si>
  <si>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</si>
  <si>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</si>
  <si>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</si>
  <si>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</si>
  <si>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</si>
  <si>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</si>
  <si>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</si>
  <si>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</si>
  <si>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</si>
  <si>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</si>
  <si>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</si>
  <si>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</si>
  <si>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</si>
  <si>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</si>
  <si>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</si>
  <si>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</si>
  <si>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</si>
  <si>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</si>
  <si>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</si>
  <si>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</si>
  <si>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</si>
  <si>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</si>
  <si>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</si>
  <si>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</si>
  <si>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</si>
  <si>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</si>
  <si>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</si>
  <si>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</si>
  <si>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</si>
  <si>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</si>
  <si>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</si>
  <si>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</si>
  <si>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</si>
  <si>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</si>
  <si>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</si>
  <si>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</si>
  <si>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</si>
  <si>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</si>
  <si>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</si>
  <si>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</si>
  <si>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</si>
  <si>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</si>
  <si>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</si>
  <si>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</si>
  <si>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</si>
  <si>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</si>
  <si>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</si>
  <si>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</si>
  <si>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</si>
  <si>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</si>
  <si>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</si>
  <si>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</si>
  <si>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</si>
  <si>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</si>
  <si>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</si>
  <si>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</si>
  <si>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</si>
  <si>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</si>
  <si>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</si>
  <si>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</si>
  <si>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</si>
  <si>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</si>
  <si>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</si>
  <si>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</si>
  <si>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</si>
  <si>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</si>
  <si>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</si>
  <si>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</si>
  <si>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</si>
  <si>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</si>
  <si>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</si>
  <si>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</si>
  <si>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</si>
  <si>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</si>
  <si>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</si>
  <si>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</si>
  <si>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</si>
  <si>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</si>
  <si>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</si>
  <si>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</si>
  <si>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</si>
  <si>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</si>
  <si>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</si>
  <si>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</si>
  <si>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</si>
  <si>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</si>
  <si>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</si>
  <si>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</si>
  <si>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</si>
  <si>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</si>
  <si>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</si>
  <si>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</si>
  <si>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</si>
  <si>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</si>
  <si>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</si>
  <si>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</si>
  <si>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</si>
  <si>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</si>
  <si>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</si>
  <si>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</si>
  <si>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</si>
  <si>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</si>
  <si>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</si>
  <si>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</si>
  <si>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</si>
  <si>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</si>
  <si>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</si>
  <si>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</si>
  <si>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</si>
  <si>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</si>
  <si>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</si>
  <si>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</si>
  <si>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</si>
  <si>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</si>
  <si>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</si>
  <si>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</si>
  <si>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</si>
  <si>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</si>
  <si>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</si>
  <si>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</si>
  <si>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</si>
  <si>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</si>
  <si>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</si>
  <si>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</si>
  <si>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</si>
  <si>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</si>
  <si>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</si>
  <si>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</si>
  <si>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</si>
  <si>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</si>
  <si>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</si>
  <si>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</si>
  <si>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</si>
  <si>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</si>
  <si>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</si>
  <si>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</si>
  <si>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</si>
  <si>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</si>
  <si>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</si>
  <si>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</si>
  <si>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</si>
  <si>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</si>
  <si>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</si>
  <si>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</si>
  <si>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</si>
  <si>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</si>
  <si>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</si>
  <si>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</si>
  <si>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</si>
  <si>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</si>
  <si>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</si>
  <si>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</si>
  <si>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</si>
  <si>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</si>
  <si>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</si>
  <si>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</si>
  <si>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</si>
  <si>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</si>
  <si>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</si>
  <si>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</si>
  <si>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</si>
  <si>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</si>
  <si>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</si>
  <si>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</si>
  <si>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</si>
  <si>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</si>
  <si>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</si>
  <si>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</si>
  <si>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</si>
  <si>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</si>
  <si>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</si>
  <si>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</si>
  <si>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</si>
  <si>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</si>
  <si>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</si>
  <si>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</si>
  <si>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</si>
  <si>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</si>
  <si>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</si>
  <si>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</si>
  <si>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</si>
  <si>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</si>
  <si>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</si>
  <si>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</si>
  <si>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</si>
  <si>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</si>
  <si>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</si>
  <si>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</si>
  <si>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</si>
  <si>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</si>
  <si>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</si>
  <si>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</si>
  <si>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</si>
  <si>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</si>
  <si>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</si>
  <si>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</si>
  <si>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</si>
  <si>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</si>
  <si>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</si>
  <si>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</si>
  <si>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</si>
  <si>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</si>
  <si>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</si>
  <si>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</si>
  <si>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</si>
  <si>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</si>
  <si>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</si>
  <si>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</si>
  <si>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</si>
  <si>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</si>
  <si>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</si>
  <si>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</si>
  <si>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</si>
  <si>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</si>
  <si>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</si>
  <si>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</si>
  <si>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</si>
  <si>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</si>
  <si>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</si>
  <si>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</si>
  <si>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</si>
  <si>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</si>
  <si>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</si>
  <si>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</si>
  <si>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</si>
  <si>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</si>
  <si>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</si>
  <si>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</si>
  <si>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</si>
  <si>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</si>
  <si>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</si>
  <si>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</si>
  <si>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</si>
  <si>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</si>
  <si>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</si>
  <si>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</si>
  <si>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</si>
  <si>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</si>
  <si>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</si>
  <si>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</si>
  <si>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</si>
  <si>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</si>
  <si>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</si>
  <si>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</si>
  <si>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</si>
  <si>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</si>
  <si>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</si>
  <si>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</si>
  <si>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</si>
  <si>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</si>
  <si>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</si>
  <si>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</si>
  <si>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</si>
  <si>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</si>
  <si>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</si>
  <si>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</si>
  <si>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</si>
  <si>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</si>
  <si>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</si>
  <si>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</si>
  <si>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</si>
  <si>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</si>
  <si>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</si>
  <si>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</si>
  <si>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</si>
  <si>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</si>
  <si>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</si>
  <si>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</si>
  <si>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</si>
  <si>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</si>
  <si>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</si>
  <si>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</si>
  <si>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</si>
  <si>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</si>
  <si>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</si>
  <si>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</si>
  <si>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</si>
  <si>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</si>
  <si>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</si>
  <si>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</si>
  <si>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</si>
  <si>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</si>
  <si>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</si>
  <si>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</si>
  <si>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</si>
  <si>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</si>
  <si>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</si>
  <si>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</si>
  <si>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</si>
  <si>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</si>
  <si>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</si>
  <si>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</si>
  <si>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</si>
  <si>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</si>
  <si>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</si>
  <si>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</si>
  <si>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</si>
  <si>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</si>
  <si>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</si>
  <si>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</si>
  <si>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</si>
  <si>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</si>
  <si>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</si>
  <si>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</si>
  <si>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</si>
  <si>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</si>
  <si>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</si>
  <si>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</si>
  <si>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</si>
  <si>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</si>
  <si>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</si>
  <si>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</si>
  <si>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</si>
  <si>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</si>
  <si>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</si>
  <si>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</si>
  <si>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</si>
  <si>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</si>
  <si>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</si>
  <si>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</si>
  <si>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</si>
  <si>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</si>
  <si>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</si>
  <si>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</si>
  <si>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</si>
  <si>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</si>
  <si>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</si>
  <si>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</si>
  <si>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</si>
  <si>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</si>
  <si>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</si>
  <si>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</si>
  <si>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</si>
  <si>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</si>
  <si>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</si>
  <si>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</si>
  <si>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</si>
  <si>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</si>
  <si>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</si>
  <si>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</si>
  <si>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</si>
  <si>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</si>
  <si>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</si>
  <si>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</si>
  <si>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</si>
  <si>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</si>
  <si>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</si>
  <si>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</si>
  <si>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</si>
  <si>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</si>
  <si>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</si>
  <si>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</si>
  <si>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</si>
  <si>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</si>
  <si>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</si>
  <si>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</si>
  <si>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</si>
  <si>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</si>
  <si>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</si>
  <si>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</si>
  <si>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</si>
  <si>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</si>
  <si>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</si>
  <si>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</si>
  <si>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</si>
  <si>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</si>
  <si>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</si>
  <si>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</si>
  <si>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</si>
  <si>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</si>
  <si>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</si>
  <si>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</si>
  <si>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</si>
  <si>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</si>
  <si>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</si>
  <si>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</si>
  <si>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</si>
  <si>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</si>
  <si>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</si>
  <si>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</si>
  <si>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</si>
  <si>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</si>
  <si>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</si>
  <si>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</si>
  <si>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</si>
  <si>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</si>
  <si>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</si>
  <si>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</si>
  <si>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</si>
  <si>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</si>
  <si>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</si>
  <si>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</si>
  <si>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</si>
  <si>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</si>
  <si>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</si>
  <si>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</si>
  <si>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</si>
  <si>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</si>
  <si>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</si>
  <si>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</si>
  <si>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</si>
  <si>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</si>
  <si>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</si>
  <si>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</si>
  <si>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</si>
  <si>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</si>
  <si>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</si>
  <si>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</si>
  <si>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</si>
  <si>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</si>
  <si>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</si>
  <si>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</si>
  <si>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</si>
  <si>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</si>
  <si>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</si>
  <si>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</si>
  <si>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</si>
  <si>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</si>
  <si>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</si>
  <si>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</si>
  <si>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</si>
  <si>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</si>
  <si>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</si>
  <si>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</si>
  <si>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</si>
  <si>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</si>
  <si>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</si>
  <si>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</si>
  <si>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</si>
  <si>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</si>
  <si>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</si>
  <si>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</si>
  <si>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</si>
  <si>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</si>
  <si>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</si>
  <si>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</si>
  <si>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</si>
  <si>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</si>
  <si>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</si>
  <si>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</si>
  <si>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</si>
  <si>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</si>
  <si>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</si>
  <si>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</si>
  <si>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</si>
  <si>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</si>
  <si>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</si>
  <si>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</si>
  <si>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</si>
  <si>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</si>
  <si>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</si>
  <si>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</si>
  <si>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</si>
  <si>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</si>
  <si>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</si>
  <si>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</si>
  <si>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</si>
  <si>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</si>
  <si>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</si>
  <si>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</si>
  <si>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</si>
  <si>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</si>
  <si>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</si>
  <si>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</si>
  <si>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</si>
  <si>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</si>
  <si>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</si>
  <si>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</si>
  <si>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</si>
  <si>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</si>
  <si>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</si>
  <si>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</si>
  <si>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</si>
  <si>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</si>
  <si>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</si>
  <si>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</si>
  <si>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</si>
  <si>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</si>
  <si>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</si>
  <si>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</si>
  <si>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</si>
  <si>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</si>
  <si>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</si>
  <si>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</si>
  <si>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</si>
  <si>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</si>
  <si>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</si>
  <si>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</si>
  <si>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</si>
  <si>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</si>
  <si>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东三环中路7号1号楼31层35F1号</t>
    <phoneticPr fontId="3" type="noConversion"/>
  </si>
  <si>
    <t>南</t>
  </si>
  <si>
    <t>北</t>
  </si>
  <si>
    <t>西北</t>
  </si>
  <si>
    <t>高楼层</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</si>
  <si>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</si>
  <si>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</si>
  <si>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</si>
  <si>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</si>
  <si>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</si>
  <si>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</si>
  <si>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</si>
  <si>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</si>
  <si>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</si>
  <si>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</si>
  <si>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</si>
  <si>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</si>
  <si>
    <t>31/40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</si>
</sst>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51" fillId="9" borderId="37" xfId="0" applyFont="1" applyFill="1" applyBorder="1" applyAlignment="1" applyProtection="1">
      <alignment horizontal="center" vertical="center" wrapText="1"/>
      <protection locked="0"/>
    </xf>
    <xf numFmtId="49" fontId="128" fillId="9" borderId="41"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81.66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6" t="s">
        <v>2174</v>
      </c>
      <c r="E8" s="2197"/>
      <c r="F8" s="2198"/>
      <c r="G8" s="2436"/>
      <c r="H8" s="2436"/>
      <c r="I8" s="2436"/>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c r="G16" s="3247"/>
      <c r="H16" s="3247"/>
      <c r="I16" s="3248"/>
      <c r="J16" s="2240"/>
      <c r="K16" s="2397"/>
      <c r="L16" s="1668"/>
      <c r="M16" s="1668"/>
      <c r="N16" s="2240"/>
      <c r="O16" s="1668"/>
      <c r="P16" s="2240"/>
      <c r="Q16" s="2240"/>
      <c r="R16" s="2240"/>
    </row>
    <row r="17" spans="1:28">
      <c r="A17" s="304" t="s">
        <v>2192</v>
      </c>
      <c r="B17" s="293" t="s">
        <v>2193</v>
      </c>
      <c r="C17" s="8">
        <f>'数据-汇总表'!E3</f>
        <v>81.66</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81.66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81.66</v>
      </c>
      <c r="H5" s="13">
        <f t="shared" ref="H5:AT5" si="0">SUM(H13:H656)</f>
        <v>81.66</v>
      </c>
      <c r="I5" s="13">
        <f t="shared" si="0"/>
        <v>81.66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81.66</v>
      </c>
      <c r="BA5" s="15">
        <f t="shared" si="1"/>
        <v>81.66</v>
      </c>
      <c r="BB5" s="15">
        <f t="shared" si="1"/>
        <v>81.66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81.66</v>
      </c>
      <c r="H13" s="17">
        <f>SUMIF(I$12:AB$12,"总值",I13:AB13)</f>
        <v>81.66</v>
      </c>
      <c r="I13" s="1512">
        <v>81.66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81.66</v>
      </c>
      <c r="BA13" s="13">
        <f>SUM(BB13:BK13)</f>
        <v>81.66</v>
      </c>
      <c r="BB13" s="13">
        <f>IF($D13="是",I13-J13,0)</f>
        <v>81.66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81.66</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81.66</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81.66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81.66</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81.66</v>
      </c>
      <c r="F19" s="2552">
        <f>'数据-基础表'!I13</f>
        <v>81.66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81.66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81.66</v>
      </c>
      <c r="F27" s="1071">
        <f>IF(SUM(F19:F26)=E8,SUM(F19:F26),"地上面积有误")</f>
        <v>81.66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81.66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81.66</v>
      </c>
      <c r="F31" s="643">
        <f>F27+F30</f>
        <v>81.66</v>
      </c>
      <c r="G31" s="644">
        <f>G27+G30</f>
        <v>0</v>
      </c>
      <c r="H31" s="2433"/>
      <c r="I31" s="2433"/>
      <c r="J31" s="2433"/>
      <c r="K31" s="2433"/>
      <c r="L31" s="2433"/>
      <c r="M31" s="2433"/>
      <c r="N31" s="2433"/>
      <c r="O31" s="2433"/>
      <c r="P31" s="2433"/>
    </row>
    <row r="32" spans="1:19">
      <c r="A32" s="1524"/>
      <c r="B32" s="1524" t="s">
        <v>1159</v>
      </c>
      <c r="C32" s="1524"/>
      <c r="D32" s="1524"/>
      <c r="E32" s="989">
        <f>SUMIF(C19:C26,"*住宅*",E19:E26)</f>
        <v>81.66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4.4999999999999998E-2</v>
      </c>
      <c r="J6" s="63">
        <v>0.06</v>
      </c>
      <c r="K6" s="969">
        <f>SUMIF('数据-汇总表'!C$19:C$33,A6,'数据-汇总表'!E$19:E$33)</f>
        <v>81.66</v>
      </c>
      <c r="L6" s="3184">
        <v>4000</v>
      </c>
      <c r="M6" s="64">
        <f t="shared" ref="M6:M14" si="1">ROUND(K6*L6/10000,0)</f>
        <v>33</v>
      </c>
      <c r="N6" s="3185">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15000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1E-3</v>
      </c>
      <c r="AM6" s="77">
        <v>0.01</v>
      </c>
      <c r="AN6" s="1587" t="s">
        <v>3394</v>
      </c>
      <c r="AO6" s="50">
        <f ca="1">SUMIF(INDIRECT("'"&amp;AN6&amp;"'"&amp;"!A:A"),"总价",INDIRECT("'"&amp;AN6&amp;"'"&amp;"!B:B"))</f>
        <v>524.90409999999997</v>
      </c>
      <c r="AP6" s="1588">
        <f>IF(C6="住宅",K6*L6,0)</f>
        <v>326640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81.66</v>
      </c>
      <c r="L16" s="87">
        <f>ROUND(M16*10000/SUM(K6:K14),0)</f>
        <v>4041</v>
      </c>
      <c r="M16" s="87">
        <f>SUM(M6:M14)</f>
        <v>33</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3</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3</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13066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2">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81.66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680.20330000000001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81.66</v>
      </c>
      <c r="C14" s="2300"/>
      <c r="D14" s="2300">
        <f ca="1">ROUND(E14*B14/10000,4)</f>
        <v>680.20330000000001</v>
      </c>
      <c r="E14" s="2300">
        <f ca="1">结果表!G20</f>
        <v>83297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81.66</v>
      </c>
      <c r="M18" s="293">
        <f>IF(C1="",'数据-汇总表'!E3,SUMIF(项目类型,C1,'数据-汇总表'!E17:E26))</f>
        <v>81.66</v>
      </c>
    </row>
    <row r="19" spans="1:36" ht="15">
      <c r="A19" s="1628" t="s">
        <v>1290</v>
      </c>
      <c r="B19" s="1629" t="s">
        <v>1291</v>
      </c>
      <c r="C19" s="125">
        <f ca="1">SUMIF(INDIRECT("'"&amp;C4&amp;"'"&amp;"!A:A"),结果表!B19,INDIRECT("'"&amp;C4&amp;"'"&amp;"!B:B"))</f>
        <v>524.90409999999997</v>
      </c>
      <c r="D19" s="126">
        <f ca="1">SUMIF(INDIRECT("'"&amp;D4&amp;"'"&amp;"!A:A"),结果表!B19,INDIRECT("'"&amp;D4&amp;"'"&amp;"!B:B"))</f>
        <v>719.0326</v>
      </c>
      <c r="E19" s="1628" t="s">
        <v>1292</v>
      </c>
      <c r="F19" s="1629" t="s">
        <v>1291</v>
      </c>
      <c r="G19" s="3162">
        <f ca="1">ROUND((G20*'数据-基础表'!I13)/10000,4)</f>
        <v>680.20330000000001</v>
      </c>
      <c r="H19" s="1630" t="s">
        <v>1293</v>
      </c>
      <c r="I19" s="120">
        <f ca="1">G20*69.1/10000</f>
        <v>575.58226999999988</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64279</v>
      </c>
      <c r="D20" s="129">
        <f ca="1">SUMIF(INDIRECT("'"&amp;D4&amp;"'"&amp;"!A:A"),结果表!B20,INDIRECT("'"&amp;D4&amp;"'"&amp;"!B:B"))</f>
        <v>88052</v>
      </c>
      <c r="E20" s="1631"/>
      <c r="F20" s="43" t="s">
        <v>1295</v>
      </c>
      <c r="G20" s="130">
        <f ca="1">ROUND(C20*$C$18+D20*$D$18,0)</f>
        <v>83297</v>
      </c>
      <c r="H20" s="759" t="s">
        <v>1296</v>
      </c>
      <c r="I20" s="120">
        <f ca="1">G19/700</f>
        <v>0.971719</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0.36983612816131561</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680.20330000000001</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81.66</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83297</v>
      </c>
      <c r="D30" s="3165">
        <f ca="1">ROUND((G19*10000-D27)/10000,4)</f>
        <v>680.20330000000001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83297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45435</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524.90409999999997</v>
      </c>
      <c r="D102" s="2366">
        <f ca="1">IF(D32="楼面单价",ROUND(D19,0),D19)</f>
        <v>719.0326</v>
      </c>
      <c r="E102" s="3286"/>
      <c r="F102" s="3287"/>
      <c r="G102" s="1685" t="s">
        <v>1434</v>
      </c>
      <c r="H102" s="2335" t="e">
        <f ca="1">I118</f>
        <v>#REF!</v>
      </c>
      <c r="I102" s="120"/>
    </row>
    <row r="103" spans="1:35" ht="42.75" customHeight="1">
      <c r="A103" s="3318"/>
      <c r="B103" s="2364" t="s">
        <v>1434</v>
      </c>
      <c r="C103" s="2367">
        <f ca="1">C20</f>
        <v>64279</v>
      </c>
      <c r="D103" s="2368">
        <f ca="1">D20</f>
        <v>88052</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81.66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19542</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2393093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13066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13066</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81.66</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81.66</v>
      </c>
      <c r="E19" s="202">
        <f>'数据-取费表'!B31</f>
        <v>200</v>
      </c>
      <c r="F19" s="222"/>
      <c r="G19" s="1712"/>
    </row>
    <row r="20" spans="1:7" s="205" customFormat="1" ht="13.5" customHeight="1">
      <c r="A20" s="246" t="s">
        <v>1493</v>
      </c>
      <c r="B20" s="201" t="s">
        <v>1494</v>
      </c>
      <c r="C20" s="223">
        <f ca="1">ROUND((C5+C19)*F20,0)</f>
        <v>261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1971</v>
      </c>
      <c r="D22" s="226">
        <f ca="1">C26</f>
        <v>1.4E-3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1952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19</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2666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2666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19501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81.66</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1.4E-3</v>
      </c>
      <c r="D44" s="229"/>
      <c r="E44" s="229"/>
      <c r="F44" s="230"/>
      <c r="G44" s="3375"/>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54</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41</v>
      </c>
      <c r="D51" s="223"/>
      <c r="E51" s="223"/>
      <c r="F51" s="255"/>
      <c r="G51" s="225" t="s">
        <v>1560</v>
      </c>
    </row>
    <row r="52" spans="1:7" s="199" customFormat="1" ht="16.5" thickBot="1">
      <c r="A52" s="256" t="s">
        <v>1561</v>
      </c>
      <c r="B52" s="257"/>
      <c r="C52" s="258">
        <f ca="1">C31+C51</f>
        <v>19542</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15540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1903012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81.66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81.66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-13065</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81.66</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-13065</v>
      </c>
      <c r="D21" s="766"/>
      <c r="E21" s="272"/>
      <c r="F21" s="272"/>
      <c r="G21" s="122" t="s">
        <v>1629</v>
      </c>
      <c r="H21" s="758"/>
      <c r="I21" s="758"/>
      <c r="J21" s="758"/>
      <c r="K21" s="759"/>
    </row>
    <row r="22" spans="1:33" s="754" customFormat="1" ht="13.5" customHeight="1">
      <c r="A22" s="743" t="s">
        <v>1601</v>
      </c>
      <c r="B22" s="764" t="s">
        <v>1630</v>
      </c>
      <c r="C22" s="765">
        <f ca="1">ROUND(C21*F22,0)</f>
        <v>-261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-2665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-2665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15540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90" zoomScaleNormal="70" zoomScaleSheetLayoutView="90" workbookViewId="0">
      <selection activeCell="I36" sqref="I3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524.90409999999997</v>
      </c>
      <c r="C2" s="1287" t="s">
        <v>879</v>
      </c>
      <c r="D2" s="1373">
        <f ca="1">C40+J29+L46</f>
        <v>5249041</v>
      </c>
      <c r="E2" s="1293" t="s">
        <v>880</v>
      </c>
      <c r="F2" s="1294"/>
      <c r="G2" s="2473"/>
      <c r="H2" s="2463"/>
      <c r="I2" s="2463"/>
      <c r="J2" s="2463"/>
      <c r="K2" s="2464"/>
      <c r="L2" s="2463"/>
      <c r="M2" s="2463"/>
    </row>
    <row r="3" spans="1:37" ht="18" customHeight="1" thickBot="1">
      <c r="A3" s="1295" t="s">
        <v>881</v>
      </c>
      <c r="B3" s="1296">
        <f ca="1">IF(ISERROR(D2/F43),0,ROUND(D2/F43,0))</f>
        <v>64279</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171214</v>
      </c>
      <c r="D5" s="1271" t="s">
        <v>889</v>
      </c>
      <c r="E5" s="1007"/>
      <c r="F5" s="1008"/>
      <c r="G5" s="1290"/>
      <c r="H5" s="290">
        <v>1</v>
      </c>
      <c r="I5" s="291" t="s">
        <v>888</v>
      </c>
      <c r="J5" s="1006">
        <f ca="1">J6+J10+J12</f>
        <v>381.5123558650057</v>
      </c>
      <c r="K5" s="1271" t="s">
        <v>889</v>
      </c>
      <c r="L5" s="1007"/>
      <c r="M5" s="1008"/>
    </row>
    <row r="6" spans="1:37" ht="18" customHeight="1">
      <c r="A6" s="1005" t="s">
        <v>398</v>
      </c>
      <c r="B6" s="3378" t="s">
        <v>694</v>
      </c>
      <c r="C6" s="1010">
        <f ca="1">ROUND(F6*F8*F7*(1-F9),0)</f>
        <v>171000</v>
      </c>
      <c r="D6" s="146" t="s">
        <v>2103</v>
      </c>
      <c r="E6" s="293" t="s">
        <v>696</v>
      </c>
      <c r="F6" s="294">
        <f ca="1">INDIRECT("'数据-取费表'!u"&amp;$G$1)</f>
        <v>15000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214</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395051</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326640</v>
      </c>
      <c r="D14" s="1255" t="s">
        <v>708</v>
      </c>
      <c r="E14" s="1253"/>
      <c r="F14" s="310"/>
      <c r="G14" s="1290"/>
      <c r="H14" s="927" t="s">
        <v>398</v>
      </c>
      <c r="I14" s="293" t="s">
        <v>709</v>
      </c>
      <c r="J14" s="21">
        <f ca="1">C29</f>
        <v>526735</v>
      </c>
      <c r="K14" s="12"/>
      <c r="L14" s="758"/>
      <c r="M14" s="759"/>
    </row>
    <row r="15" spans="1:37" s="1302" customFormat="1" ht="18" customHeight="1" thickBot="1">
      <c r="A15" s="927" t="s">
        <v>399</v>
      </c>
      <c r="B15" s="293" t="s">
        <v>710</v>
      </c>
      <c r="C15" s="21">
        <f ca="1">ROUND(C14*F15,0)</f>
        <v>9799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16332</v>
      </c>
      <c r="D16" s="293" t="s">
        <v>711</v>
      </c>
      <c r="E16" s="293" t="s">
        <v>712</v>
      </c>
      <c r="F16" s="313">
        <f ca="1">IF(INDIRECT("'数据-取费表'!c"&amp;$G$1)="住宅",'数据-取费表'!B34,0)</f>
        <v>0.05</v>
      </c>
      <c r="G16" s="1290"/>
      <c r="H16" s="1015" t="s">
        <v>393</v>
      </c>
      <c r="I16" s="1016" t="s">
        <v>714</v>
      </c>
      <c r="J16" s="301">
        <f ca="1">ROUND(J17+J22+J23+J24,0)</f>
        <v>7905</v>
      </c>
      <c r="K16" s="1023" t="s">
        <v>715</v>
      </c>
      <c r="L16" s="1024"/>
      <c r="M16" s="1008"/>
    </row>
    <row r="17" spans="1:37" s="1302" customFormat="1" ht="18" customHeight="1">
      <c r="A17" s="927" t="s">
        <v>681</v>
      </c>
      <c r="B17" s="293" t="s">
        <v>716</v>
      </c>
      <c r="C17" s="21">
        <f ca="1">ROUND(F17*(F43+INDIRECT("'数据-取费表'!S"&amp;$G$1)),0)</f>
        <v>16332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4900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374003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7480</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7901</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27501</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3">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-7523.4876441349943</v>
      </c>
      <c r="K25" s="1031" t="s">
        <v>753</v>
      </c>
      <c r="L25" s="1032"/>
      <c r="M25" s="1033"/>
    </row>
    <row r="26" spans="1:37" ht="18" customHeight="1">
      <c r="A26" s="927" t="s">
        <v>397</v>
      </c>
      <c r="B26" s="293" t="s">
        <v>754</v>
      </c>
      <c r="C26" s="21">
        <f ca="1">ROUND((C19+C20)*F26,0)</f>
        <v>76297</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526735</v>
      </c>
      <c r="D29" s="1028"/>
      <c r="E29" s="1026"/>
      <c r="F29" s="1029"/>
      <c r="G29" s="1301"/>
      <c r="H29" s="324" t="s">
        <v>396</v>
      </c>
      <c r="I29" s="325" t="s">
        <v>768</v>
      </c>
      <c r="J29" s="326">
        <f ca="1">ROUND(J26/(1+F40)^F41,0)</f>
        <v>0</v>
      </c>
      <c r="K29" s="327" t="s">
        <v>769</v>
      </c>
      <c r="L29" s="328"/>
      <c r="M29" s="329">
        <f ca="1">INDIRECT("'数据-取费表'!k"&amp;$G$1)</f>
        <v>81.66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14079</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4071</v>
      </c>
      <c r="D31" s="1255" t="s">
        <v>720</v>
      </c>
      <c r="E31" s="1254" t="s">
        <v>770</v>
      </c>
      <c r="F31" s="2134">
        <f ca="1">IF(项目基本情况!B11="企业","——",IF(M47="住宅",IF(F6*F7*F8/12/(1+'数据-取费表'!F30)&gt;100000,4%,2.5%),IF(F6*F7*F8/12/(1+'数据-取费表'!F30)&gt;100000,12%,7%)))</f>
        <v>2.5000000000000001E-2</v>
      </c>
      <c r="G31" s="1290"/>
      <c r="H31" s="3188"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7901</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395</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1712</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157135</v>
      </c>
      <c r="D39" s="1031" t="s">
        <v>773</v>
      </c>
      <c r="E39" s="1032"/>
      <c r="F39" s="1033"/>
      <c r="G39" s="1290"/>
      <c r="H39" s="2468"/>
      <c r="I39" s="1303"/>
      <c r="J39" s="1304"/>
      <c r="K39" s="2466"/>
      <c r="L39" s="2468"/>
      <c r="M39" s="2468"/>
    </row>
    <row r="40" spans="1:18" ht="18" customHeight="1">
      <c r="A40" s="290" t="s">
        <v>395</v>
      </c>
      <c r="B40" s="291" t="s">
        <v>774</v>
      </c>
      <c r="C40" s="292">
        <f ca="1">ROUND(C39*(1-((1+F42)/(1+F40))^F41)/(F40-F42),0)</f>
        <v>5249041</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64279</v>
      </c>
      <c r="D43" s="327" t="s">
        <v>777</v>
      </c>
      <c r="E43" s="328" t="s">
        <v>778</v>
      </c>
      <c r="F43" s="329">
        <f ca="1">INDIRECT("'数据-取费表'!k"&amp;$G$1)</f>
        <v>81.66</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-541.11969999999997</v>
      </c>
      <c r="D45" s="3124" t="s">
        <v>3353</v>
      </c>
      <c r="E45" s="1305"/>
      <c r="F45" s="1305"/>
      <c r="O45" s="1308" t="s">
        <v>808</v>
      </c>
      <c r="P45" s="1364"/>
      <c r="Q45" s="1364"/>
      <c r="R45" s="1364"/>
    </row>
    <row r="46" spans="1:18" s="1290" customFormat="1" ht="13.5" thickBot="1">
      <c r="A46" s="1309" t="s">
        <v>809</v>
      </c>
      <c r="C46" s="1310">
        <f ca="1">ROUND(C45,0)</f>
        <v>-541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5249041</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526735</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2815747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6" t="s">
        <v>837</v>
      </c>
      <c r="L53" s="3377"/>
      <c r="O53" s="1323" t="s">
        <v>409</v>
      </c>
      <c r="P53" s="1324" t="s">
        <v>838</v>
      </c>
      <c r="Q53" s="1325">
        <f ca="1">Q47+Q48</f>
        <v>5249041</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395051</v>
      </c>
      <c r="D56" s="1350"/>
      <c r="E56" s="1351"/>
      <c r="F56" s="1343"/>
      <c r="I56" s="1352" t="s">
        <v>842</v>
      </c>
      <c r="J56" s="1353" t="s">
        <v>3398</v>
      </c>
      <c r="K56" s="1326" t="s">
        <v>843</v>
      </c>
      <c r="L56" s="1329">
        <f ca="1">IF(L48&lt;J51,"——",L48-J51)</f>
        <v>9.0900000000000034</v>
      </c>
      <c r="O56" s="1323" t="s">
        <v>403</v>
      </c>
      <c r="P56" s="1324" t="s">
        <v>817</v>
      </c>
      <c r="Q56" s="1325">
        <f ca="1">C40+J29</f>
        <v>5249041</v>
      </c>
      <c r="R56" s="1325" t="s">
        <v>818</v>
      </c>
    </row>
    <row r="57" spans="1:18" s="1290" customFormat="1" ht="24.75" thickBot="1">
      <c r="A57" s="1354"/>
      <c r="B57" s="895" t="s">
        <v>767</v>
      </c>
      <c r="C57" s="229">
        <f ca="1">C29</f>
        <v>526735</v>
      </c>
      <c r="D57" s="1355"/>
      <c r="E57" s="1356"/>
      <c r="F57" s="1357"/>
      <c r="I57" s="1358" t="s">
        <v>844</v>
      </c>
      <c r="J57" s="1359" t="str">
        <f ca="1">IF(OR(M47="住宅",J51&lt;L48,J56="是"),"——",J51-L48)</f>
        <v>——</v>
      </c>
      <c r="K57" s="1326" t="s">
        <v>892</v>
      </c>
      <c r="L57" s="1329">
        <f ca="1">IF(L48&lt;J51,"——",IF(L55="比较法",L49,IF(L55="基准地价",L50,L51)))</f>
        <v>2815747</v>
      </c>
      <c r="O57" s="1323" t="s">
        <v>404</v>
      </c>
      <c r="P57" s="1324" t="s">
        <v>893</v>
      </c>
      <c r="Q57" s="1325">
        <f ca="1">L60</f>
        <v>0</v>
      </c>
      <c r="R57" s="1325" t="s">
        <v>894</v>
      </c>
    </row>
    <row r="58" spans="1:18" s="1290" customFormat="1" ht="24.75" thickBot="1">
      <c r="A58" s="306" t="s">
        <v>393</v>
      </c>
      <c r="B58" s="903" t="s">
        <v>714</v>
      </c>
      <c r="C58" s="307">
        <f ca="1">ROUND(C59+C64+C65+C66,0)</f>
        <v>8296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5249041</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7901</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395</v>
      </c>
      <c r="D65" s="909" t="s">
        <v>743</v>
      </c>
      <c r="E65" s="895" t="s">
        <v>744</v>
      </c>
      <c r="F65" s="320">
        <f t="shared" ca="1" si="0"/>
        <v>1E-3</v>
      </c>
      <c r="I65" s="1365" t="s">
        <v>867</v>
      </c>
      <c r="J65" s="609">
        <v>40</v>
      </c>
      <c r="K65" s="609">
        <v>30</v>
      </c>
      <c r="L65" s="609">
        <v>50</v>
      </c>
      <c r="M65" s="1367">
        <v>0.02</v>
      </c>
      <c r="O65" s="1323" t="s">
        <v>403</v>
      </c>
      <c r="P65" s="1324" t="s">
        <v>868</v>
      </c>
      <c r="Q65" s="1325">
        <f ca="1">C40+J29</f>
        <v>5249041</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-8296</v>
      </c>
      <c r="D67" s="908" t="s">
        <v>753</v>
      </c>
      <c r="E67" s="913"/>
      <c r="F67" s="914"/>
      <c r="O67" s="1332" t="s">
        <v>405</v>
      </c>
      <c r="P67" s="1324" t="s">
        <v>850</v>
      </c>
      <c r="Q67" s="1368">
        <f ca="1">L51</f>
        <v>2815747</v>
      </c>
      <c r="R67" s="1325" t="s">
        <v>870</v>
      </c>
    </row>
    <row r="68" spans="1:18" s="1290" customFormat="1" ht="16.5" thickBot="1">
      <c r="A68" s="892" t="s">
        <v>395</v>
      </c>
      <c r="B68" s="893" t="s">
        <v>774</v>
      </c>
      <c r="C68" s="292">
        <f ca="1">ROUND(C67*(1-((1+F70)/(1+F68))^F69)/(F68-F70),0)</f>
        <v>-162156</v>
      </c>
      <c r="D68" s="910" t="s">
        <v>758</v>
      </c>
      <c r="E68" s="895" t="s">
        <v>759</v>
      </c>
      <c r="F68" s="303">
        <f ca="1">F40</f>
        <v>4.4999999999999998E-2</v>
      </c>
      <c r="O68" s="1332" t="s">
        <v>406</v>
      </c>
      <c r="P68" s="1369" t="s">
        <v>871</v>
      </c>
      <c r="Q68" s="1325">
        <f ca="1">ROUND(Q69-Q70*Q71,0)</f>
        <v>133432</v>
      </c>
      <c r="R68" s="1325" t="s">
        <v>414</v>
      </c>
    </row>
    <row r="69" spans="1:18" s="1290" customFormat="1" ht="13.5" thickBot="1">
      <c r="A69" s="896"/>
      <c r="B69" s="897"/>
      <c r="C69" s="297"/>
      <c r="D69" s="915" t="s">
        <v>762</v>
      </c>
      <c r="E69" s="895" t="s">
        <v>763</v>
      </c>
      <c r="F69" s="323">
        <f ca="1">F41</f>
        <v>48.09</v>
      </c>
      <c r="O69" s="1332" t="s">
        <v>411</v>
      </c>
      <c r="P69" s="1369" t="s">
        <v>872</v>
      </c>
      <c r="Q69" s="1325">
        <f ca="1">C39</f>
        <v>157135</v>
      </c>
      <c r="R69" s="1325" t="s">
        <v>818</v>
      </c>
    </row>
    <row r="70" spans="1:18" s="1290" customFormat="1" ht="13.5" thickBot="1">
      <c r="A70" s="899"/>
      <c r="B70" s="900"/>
      <c r="C70" s="301"/>
      <c r="D70" s="911"/>
      <c r="E70" s="895" t="s">
        <v>766</v>
      </c>
      <c r="F70" s="990"/>
      <c r="O70" s="1332" t="s">
        <v>412</v>
      </c>
      <c r="P70" s="1369" t="s">
        <v>873</v>
      </c>
      <c r="Q70" s="1325">
        <f ca="1">C13</f>
        <v>395051</v>
      </c>
      <c r="R70" s="1325" t="s">
        <v>818</v>
      </c>
    </row>
    <row r="71" spans="1:18" s="1290" customFormat="1" ht="13.5" thickBot="1">
      <c r="A71" s="916" t="s">
        <v>396</v>
      </c>
      <c r="B71" s="917" t="s">
        <v>776</v>
      </c>
      <c r="C71" s="326">
        <f ca="1">ROUND(C68/F71,0)</f>
        <v>-1986</v>
      </c>
      <c r="D71" s="918" t="s">
        <v>777</v>
      </c>
      <c r="E71" s="919" t="s">
        <v>778</v>
      </c>
      <c r="F71" s="329">
        <f ca="1">F43</f>
        <v>81.66</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23703</v>
      </c>
      <c r="D75" s="1290"/>
      <c r="E75" s="1290"/>
      <c r="F75" s="1290"/>
      <c r="K75" s="1307"/>
      <c r="L75" s="1290"/>
      <c r="O75" s="1323" t="s">
        <v>409</v>
      </c>
      <c r="P75" s="1324" t="s">
        <v>838</v>
      </c>
      <c r="Q75" s="1325">
        <f ca="1">Q65+Q66</f>
        <v>5249041</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0.84899999999999998</v>
      </c>
    </row>
    <row r="80" spans="1:18">
      <c r="B80" s="330" t="s">
        <v>800</v>
      </c>
      <c r="C80" s="265">
        <f ca="1">ROUND(C75/C39,3)</f>
        <v>0.151</v>
      </c>
    </row>
    <row r="81" spans="2:3">
      <c r="B81" s="261" t="s">
        <v>801</v>
      </c>
      <c r="C81" s="229"/>
    </row>
    <row r="82" spans="2:3">
      <c r="B82" s="264" t="s">
        <v>802</v>
      </c>
      <c r="C82" s="266">
        <f ca="1">1-C83</f>
        <v>0.92500000000000004</v>
      </c>
    </row>
    <row r="83" spans="2:3">
      <c r="B83" s="264" t="s">
        <v>803</v>
      </c>
      <c r="C83" s="265">
        <f ca="1">ROUND(C13/C40,3)</f>
        <v>7.4999999999999997E-2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524.90409999999997</v>
      </c>
      <c r="C2" s="1727" t="s">
        <v>1651</v>
      </c>
      <c r="D2" s="1728" t="s">
        <v>1652</v>
      </c>
      <c r="E2" s="2387">
        <f>SUM(E6:E13)</f>
        <v>81.66</v>
      </c>
      <c r="F2" s="2474"/>
      <c r="G2" s="458"/>
      <c r="H2" s="458"/>
      <c r="I2" s="458"/>
      <c r="J2" s="458"/>
      <c r="K2" s="458"/>
      <c r="L2" s="458"/>
      <c r="M2" s="458"/>
      <c r="N2" s="458"/>
      <c r="O2" s="458"/>
      <c r="P2" s="458"/>
      <c r="Q2" s="458"/>
      <c r="R2" s="458"/>
      <c r="S2" s="458"/>
    </row>
    <row r="3" spans="1:22" ht="15.75">
      <c r="A3" s="1726" t="s">
        <v>686</v>
      </c>
      <c r="B3" s="2381">
        <f ca="1">ROUND(B2*10000/E2,0)</f>
        <v>64279</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524.90409999999997</v>
      </c>
      <c r="C6" s="1727" t="s">
        <v>1651</v>
      </c>
      <c r="D6" s="2474"/>
      <c r="E6" s="2386">
        <f>IF(OR(A6=0,F6="否"),0,'数据-取费表'!K6+'数据-取费表'!S6)</f>
        <v>81.66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C30" sqref="C30"/>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719.0326</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88052</v>
      </c>
      <c r="C3" s="343" t="s">
        <v>1665</v>
      </c>
      <c r="D3" s="342">
        <f>IF(D1="",'数据-汇总表'!E3,SUMIF('数据-汇总表'!$C19:$C33,D1,'数据-汇总表'!$E19:$E33))</f>
        <v>81.66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世贸国际公寓</v>
      </c>
      <c r="F5" s="3412"/>
      <c r="G5" s="3417" t="str">
        <f>案例!C3</f>
        <v>财富中心</v>
      </c>
      <c r="H5" s="3414"/>
      <c r="I5" s="3417" t="str">
        <f>案例!C4</f>
        <v>新城国际</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05" t="s">
        <v>1680</v>
      </c>
      <c r="Q7" s="3434"/>
      <c r="R7" s="663" t="s">
        <v>20</v>
      </c>
      <c r="S7" s="664">
        <f t="shared" ref="S7:S15" si="0">F7</f>
        <v>100.5</v>
      </c>
      <c r="T7" s="663" t="s">
        <v>20</v>
      </c>
      <c r="U7" s="664">
        <f t="shared" ref="U7:U15" si="1">H7</f>
        <v>101.5</v>
      </c>
      <c r="V7" s="663" t="s">
        <v>20</v>
      </c>
      <c r="W7" s="664">
        <f t="shared" ref="W7:W15" si="2">J7</f>
        <v>100</v>
      </c>
      <c r="X7" s="665"/>
      <c r="Y7" s="3405" t="s">
        <v>1680</v>
      </c>
      <c r="Z7" s="3406"/>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96</v>
      </c>
      <c r="G26" s="1757" t="s">
        <v>3476</v>
      </c>
      <c r="H26" s="373">
        <f>SUMIF(88:88,G26,89:89)-SUMIF(88:88,C26,89:89)+100</f>
        <v>96</v>
      </c>
      <c r="I26" s="1758" t="s">
        <v>3477</v>
      </c>
      <c r="J26" s="373">
        <f>SUMIF(88:88,I26,89:89)-SUMIF(88:88,C26,89:89)+100</f>
        <v>96.5</v>
      </c>
      <c r="K26" s="364">
        <v>0.5</v>
      </c>
      <c r="L26" s="2487"/>
      <c r="M26" s="2482"/>
      <c r="N26" s="2482"/>
      <c r="O26" s="2482"/>
      <c r="P26" s="3447"/>
      <c r="Q26" s="1261" t="str">
        <f t="shared" si="8"/>
        <v>朝向</v>
      </c>
      <c r="R26" s="666" t="s">
        <v>18</v>
      </c>
      <c r="S26" s="667">
        <f t="shared" si="9"/>
        <v>96</v>
      </c>
      <c r="T26" s="666" t="s">
        <v>18</v>
      </c>
      <c r="U26" s="667">
        <f t="shared" si="10"/>
        <v>96</v>
      </c>
      <c r="V26" s="666" t="s">
        <v>18</v>
      </c>
      <c r="W26" s="667">
        <f t="shared" si="11"/>
        <v>96.5</v>
      </c>
      <c r="X26" s="1263"/>
      <c r="Y26" s="3440"/>
      <c r="Z26" s="1262" t="str">
        <f>Q26</f>
        <v>朝向</v>
      </c>
      <c r="AA26" s="1262">
        <f t="shared" si="12"/>
        <v>1.0416666666666667</v>
      </c>
      <c r="AB26" s="1262">
        <f t="shared" si="13"/>
        <v>1.0416666666666667</v>
      </c>
      <c r="AC26" s="1262">
        <f t="shared" si="14"/>
        <v>1.0362694300518134</v>
      </c>
    </row>
    <row r="27" spans="1:29" s="101" customFormat="1" ht="15">
      <c r="A27" s="369"/>
      <c r="B27" s="3141" t="s">
        <v>3392</v>
      </c>
      <c r="C27" s="3173" t="s">
        <v>3478</v>
      </c>
      <c r="D27" s="400">
        <v>100</v>
      </c>
      <c r="E27" s="3173" t="s">
        <v>3480</v>
      </c>
      <c r="F27" s="400">
        <f>D91</f>
        <v>98</v>
      </c>
      <c r="G27" s="3173" t="s">
        <v>3478</v>
      </c>
      <c r="H27" s="400">
        <f>SUMIF(90:90,G27,91:91)-SUMIF(90:90,A27,91:91)</f>
        <v>100</v>
      </c>
      <c r="I27" s="3173" t="s">
        <v>3480</v>
      </c>
      <c r="J27" s="400">
        <f>SUMIF(90:90,I27,91:91)-SUMIF(90:90,C27,91:91)+100</f>
        <v>98</v>
      </c>
      <c r="K27" s="1745"/>
      <c r="L27" s="2483"/>
      <c r="M27" s="2434"/>
      <c r="N27" s="2434"/>
      <c r="O27" s="2434"/>
      <c r="P27" s="3447"/>
      <c r="Q27" s="529" t="str">
        <f t="shared" si="8"/>
        <v>楼层</v>
      </c>
      <c r="R27" s="663" t="s">
        <v>18</v>
      </c>
      <c r="S27" s="664">
        <f t="shared" si="9"/>
        <v>98</v>
      </c>
      <c r="T27" s="663" t="s">
        <v>18</v>
      </c>
      <c r="U27" s="664">
        <f t="shared" si="10"/>
        <v>100</v>
      </c>
      <c r="V27" s="663" t="s">
        <v>18</v>
      </c>
      <c r="W27" s="664">
        <f t="shared" si="11"/>
        <v>98</v>
      </c>
      <c r="X27" s="665"/>
      <c r="Y27" s="3440"/>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189" t="s">
        <v>3491</v>
      </c>
      <c r="D29" s="373">
        <v>100</v>
      </c>
      <c r="E29" s="3173" t="s">
        <v>3479</v>
      </c>
      <c r="F29" s="373">
        <f>SUMIF(94:94,E29,95:95)-SUMIF(94:94,C29,95:95)+100</f>
        <v>100</v>
      </c>
      <c r="G29" s="3190" t="s">
        <v>3481</v>
      </c>
      <c r="H29" s="373">
        <f>SUMIF(94:94,G29,95:95)-SUMIF(94:94,C29,95:95)+100</f>
        <v>100</v>
      </c>
      <c r="I29" s="3173" t="s">
        <v>3482</v>
      </c>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8" t="s">
        <v>3486</v>
      </c>
      <c r="D32" s="404">
        <v>100</v>
      </c>
      <c r="E32" s="3168" t="s">
        <v>3486</v>
      </c>
      <c r="F32" s="399">
        <f>SUMIF(100:100,E32,101:101)-SUMIF(100:100,C32,101:101)+100</f>
        <v>100</v>
      </c>
      <c r="G32" s="3168" t="s">
        <v>3486</v>
      </c>
      <c r="H32" s="404">
        <f>SUMIF(100:100,G32,101:101)-SUMIF(100:100,C32,101:101)+100</f>
        <v>100</v>
      </c>
      <c r="I32" s="1761" t="s">
        <v>3486</v>
      </c>
      <c r="J32" s="373">
        <f>SUMIF(100:100,I32,101:101)-SUMIF(100:100,C32,101:101)+100</f>
        <v>100</v>
      </c>
      <c r="K32" s="364">
        <v>3</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81.66</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42"/>
      <c r="Q33" s="530" t="str">
        <f t="shared" si="8"/>
        <v>项目建筑规模</v>
      </c>
      <c r="R33" s="668" t="s">
        <v>18</v>
      </c>
      <c r="S33" s="669">
        <f t="shared" si="9"/>
        <v>103</v>
      </c>
      <c r="T33" s="668" t="s">
        <v>18</v>
      </c>
      <c r="U33" s="669">
        <f t="shared" si="10"/>
        <v>100</v>
      </c>
      <c r="V33" s="668" t="s">
        <v>18</v>
      </c>
      <c r="W33" s="669">
        <f t="shared" si="11"/>
        <v>100</v>
      </c>
      <c r="X33" s="670"/>
      <c r="Y33" s="3444"/>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3186" t="s">
        <v>3489</v>
      </c>
      <c r="D36" s="373">
        <v>100</v>
      </c>
      <c r="E36" s="3186" t="s">
        <v>3489</v>
      </c>
      <c r="F36" s="399">
        <f>SUMIF(109:109,E36,110:110)-SUMIF(109:109,C36,110:110)+100</f>
        <v>100</v>
      </c>
      <c r="G36" s="3186" t="s">
        <v>3489</v>
      </c>
      <c r="H36" s="373">
        <f>SUMIF(109:109,G36,110:110)-SUMIF(109:109,C36,110:110)+100</f>
        <v>100</v>
      </c>
      <c r="I36" s="3186" t="s">
        <v>3489</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42"/>
      <c r="Q37" s="529" t="str">
        <f t="shared" si="8"/>
        <v>建成年代</v>
      </c>
      <c r="R37" s="663" t="s">
        <v>18</v>
      </c>
      <c r="S37" s="664">
        <f t="shared" si="9"/>
        <v>98</v>
      </c>
      <c r="T37" s="663" t="s">
        <v>18</v>
      </c>
      <c r="U37" s="664">
        <f t="shared" si="10"/>
        <v>100</v>
      </c>
      <c r="V37" s="663" t="s">
        <v>18</v>
      </c>
      <c r="W37" s="664">
        <f t="shared" si="11"/>
        <v>99</v>
      </c>
      <c r="X37" s="665"/>
      <c r="Y37" s="3444"/>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3487</v>
      </c>
      <c r="D42" s="373">
        <v>100</v>
      </c>
      <c r="E42" s="3186" t="s">
        <v>3489</v>
      </c>
      <c r="F42" s="399">
        <f>SUMIF(122:122,E42,123:123)-SUMIF(122:122,C42,123:123)+100</f>
        <v>102</v>
      </c>
      <c r="G42" s="3186" t="s">
        <v>3489</v>
      </c>
      <c r="H42" s="373">
        <f>SUMIF(122:122,G42,123:123)-SUMIF(122:122,C42,123:123)+100</f>
        <v>102</v>
      </c>
      <c r="I42" s="3186" t="s">
        <v>3489</v>
      </c>
      <c r="J42" s="373">
        <f>SUMIF(122:122,I42,123:123)-SUMIF(122:122,C42,123:123)+100</f>
        <v>102</v>
      </c>
      <c r="K42" s="364">
        <v>2</v>
      </c>
      <c r="L42" s="2487"/>
      <c r="M42" s="2482"/>
      <c r="N42" s="2482"/>
      <c r="O42" s="2482"/>
      <c r="P42" s="3442"/>
      <c r="Q42" s="1261" t="str">
        <f t="shared" si="8"/>
        <v>内部装修</v>
      </c>
      <c r="R42" s="666" t="s">
        <v>18</v>
      </c>
      <c r="S42" s="667">
        <f t="shared" si="9"/>
        <v>102</v>
      </c>
      <c r="T42" s="666" t="s">
        <v>18</v>
      </c>
      <c r="U42" s="667">
        <f t="shared" si="10"/>
        <v>102</v>
      </c>
      <c r="V42" s="666" t="s">
        <v>18</v>
      </c>
      <c r="W42" s="667">
        <f t="shared" si="11"/>
        <v>102</v>
      </c>
      <c r="X42" s="1263"/>
      <c r="Y42" s="3444"/>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c r="A44" s="409"/>
      <c r="B44" s="3141" t="s">
        <v>3490</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42"/>
      <c r="Q44" s="529" t="str">
        <f t="shared" si="8"/>
        <v>小区环境</v>
      </c>
      <c r="R44" s="663" t="s">
        <v>18</v>
      </c>
      <c r="S44" s="664">
        <f t="shared" si="9"/>
        <v>105</v>
      </c>
      <c r="T44" s="663" t="s">
        <v>18</v>
      </c>
      <c r="U44" s="664">
        <f t="shared" si="10"/>
        <v>100</v>
      </c>
      <c r="V44" s="663" t="s">
        <v>18</v>
      </c>
      <c r="W44" s="664">
        <f t="shared" si="11"/>
        <v>105</v>
      </c>
      <c r="X44" s="665"/>
      <c r="Y44" s="3444"/>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42"/>
      <c r="Q45" s="1261">
        <f t="shared" si="8"/>
        <v>111</v>
      </c>
      <c r="R45" s="666" t="s">
        <v>18</v>
      </c>
      <c r="S45" s="667">
        <f t="shared" si="9"/>
        <v>100</v>
      </c>
      <c r="T45" s="666" t="s">
        <v>18</v>
      </c>
      <c r="U45" s="667">
        <f t="shared" si="10"/>
        <v>100</v>
      </c>
      <c r="V45" s="666" t="s">
        <v>18</v>
      </c>
      <c r="W45" s="667">
        <f t="shared" si="11"/>
        <v>100</v>
      </c>
      <c r="X45" s="1263"/>
      <c r="Y45" s="3444"/>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38" t="str">
        <f>A47</f>
        <v>成交单价（元/平方米）</v>
      </c>
      <c r="Q47" s="3438"/>
      <c r="R47" s="3433">
        <f>E47</f>
        <v>90751</v>
      </c>
      <c r="S47" s="3433"/>
      <c r="T47" s="3433">
        <f>G47</f>
        <v>82543</v>
      </c>
      <c r="U47" s="3433"/>
      <c r="V47" s="3433">
        <f>I47</f>
        <v>92572</v>
      </c>
      <c r="W47" s="3433"/>
      <c r="X47" s="384"/>
      <c r="Y47" s="672"/>
      <c r="Z47" s="384"/>
      <c r="AA47" s="384"/>
      <c r="AB47" s="384"/>
      <c r="AC47" s="384"/>
    </row>
    <row r="48" spans="1:29" ht="15.75" thickBot="1">
      <c r="A48" s="422" t="s">
        <v>1707</v>
      </c>
      <c r="B48" s="423"/>
      <c r="C48" s="1081">
        <f>R49</f>
        <v>88052</v>
      </c>
      <c r="D48" s="2136" t="s">
        <v>2135</v>
      </c>
      <c r="E48" s="1082">
        <f>R48</f>
        <v>88784</v>
      </c>
      <c r="F48" s="2137"/>
      <c r="G48" s="1081">
        <f>T48</f>
        <v>83051</v>
      </c>
      <c r="H48" s="2137"/>
      <c r="I48" s="1082">
        <f>V48</f>
        <v>92321</v>
      </c>
      <c r="J48" s="2137"/>
      <c r="K48" s="2138">
        <f>F48+H48+J48</f>
        <v>0</v>
      </c>
      <c r="L48" s="2489"/>
      <c r="M48" s="2482"/>
      <c r="N48" s="2482"/>
      <c r="O48" s="2482"/>
      <c r="P48" s="3438" t="str">
        <f>A48</f>
        <v>比较价值（元/平方米）</v>
      </c>
      <c r="Q48" s="3438"/>
      <c r="R48" s="3433">
        <f>IF(F1="售价",ROUND(PRODUCT(R47,AA7:AA46),0),ROUND(PRODUCT(R47,AA7:AA46),1))</f>
        <v>88784</v>
      </c>
      <c r="S48" s="3433"/>
      <c r="T48" s="3433">
        <f>IF(F1="售价",ROUND(PRODUCT(T47,AB7:AB46),0),ROUND(PRODUCT(T47,AB7:AB46),1))</f>
        <v>83051</v>
      </c>
      <c r="U48" s="3433"/>
      <c r="V48" s="3433">
        <f>IF(F1="售价",ROUND(PRODUCT(V47,AC7:AC46),0),ROUND(PRODUCT(V47,AC7:AC46),1))</f>
        <v>92321</v>
      </c>
      <c r="W48" s="3433"/>
      <c r="X48" s="384"/>
      <c r="Y48" s="384"/>
      <c r="Z48" s="384"/>
      <c r="AA48" s="384"/>
      <c r="AB48" s="384"/>
      <c r="AC48" s="384"/>
    </row>
    <row r="49" spans="1:29" ht="15.75" thickBot="1">
      <c r="A49" s="426" t="s">
        <v>1708</v>
      </c>
      <c r="B49" s="427"/>
      <c r="C49" s="1083">
        <f>R49</f>
        <v>88052</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88052</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2.2154892773472712E-2</v>
      </c>
      <c r="F52" s="434" t="str">
        <f>IF(OR(E52&gt;=0.3,E52&lt;=-0.3),"超过30%","")</f>
        <v/>
      </c>
      <c r="G52" s="433">
        <f>IF(G47&lt;G48,G48/G47-1,G47/G48-1)</f>
        <v>6.1543680263620448E-3</v>
      </c>
      <c r="H52" s="434" t="str">
        <f>IF(OR(G52&gt;=0.3,G52&lt;=-0.3),"超过30%","")</f>
        <v/>
      </c>
      <c r="I52" s="433">
        <f>IF(I47&lt;I48,I48/I47-1,I47/I48-1)</f>
        <v>2.7187747099792769E-3</v>
      </c>
      <c r="J52" s="434" t="str">
        <f>IF(OR(I52&gt;=0.3,I52&lt;=-0.3),"超过30%","")</f>
        <v/>
      </c>
      <c r="K52" s="2494"/>
      <c r="L52" s="2490"/>
      <c r="M52" s="2482"/>
      <c r="N52" s="2482"/>
      <c r="O52" s="2482"/>
    </row>
    <row r="53" spans="1:29" ht="13.5" customHeight="1">
      <c r="A53" s="2482"/>
      <c r="B53" s="2482"/>
      <c r="C53" s="431" t="s">
        <v>1710</v>
      </c>
      <c r="D53" s="435"/>
      <c r="E53" s="433">
        <f>IF(E48&lt;G48,G48/E48-1,E48/G48-1)</f>
        <v>6.9029873210436854E-2</v>
      </c>
      <c r="F53" s="434" t="str">
        <f>IF(OR(E53&gt;=0.2,E53&lt;=-0.2),"超过20%","")</f>
        <v/>
      </c>
      <c r="G53" s="433">
        <f>IF(G48&lt;I48,I48/G48-1,G48/I48-1)</f>
        <v>0.11161816233398758</v>
      </c>
      <c r="H53" s="434" t="str">
        <f>IF(OR(G53&gt;=0.2,G53&lt;=-0.2),"超过20%","")</f>
        <v/>
      </c>
      <c r="I53" s="433">
        <f>IF(I48&lt;E48,E48/I48-1,I48/E48-1)</f>
        <v>3.9838259145791977E-2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3483</v>
      </c>
      <c r="D90" s="3173" t="s">
        <v>3484</v>
      </c>
      <c r="E90" s="3173" t="s">
        <v>3485</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3488</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7">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E16 G16 I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42 G42 I42 C36 E36 G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81.66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81.66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81.66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81.66</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81.66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81.66</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81.66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81.66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O115"/>
  <sheetViews>
    <sheetView topLeftCell="A22" workbookViewId="0">
      <selection activeCell="C2" sqref="C2"/>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14791.810740000001</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41.454799999999999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5077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13066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13066</v>
      </c>
      <c r="D8" s="213"/>
      <c r="E8" s="211"/>
      <c r="F8" s="212"/>
      <c r="G8" s="1712" t="s">
        <v>3409</v>
      </c>
    </row>
    <row r="9" spans="1:8" s="205" customFormat="1" ht="13.5" customHeight="1">
      <c r="A9" s="732" t="s">
        <v>355</v>
      </c>
      <c r="B9" s="215" t="s">
        <v>1478</v>
      </c>
      <c r="C9" s="216">
        <f ca="1">ROUND(D9*E9,0)</f>
        <v>13066</v>
      </c>
      <c r="D9" s="794">
        <f ca="1">IF(B1="",'数据-汇总表'!E5,IF(INDIRECT("'数据-取费表'!c"&amp;$G$1)="住宅",INDIRECT("'数据-取费表'!k"&amp;$G$1),0))</f>
        <v>81.66</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81.66</v>
      </c>
      <c r="E19" s="202">
        <f>'数据-取费表'!B31</f>
        <v>200</v>
      </c>
      <c r="F19" s="222"/>
      <c r="G19" s="1712" t="s">
        <v>3410</v>
      </c>
    </row>
    <row r="20" spans="1:7" s="205" customFormat="1" ht="13.5" customHeight="1">
      <c r="A20" s="246" t="s">
        <v>1574</v>
      </c>
      <c r="B20" s="201" t="s">
        <v>1575</v>
      </c>
      <c r="C20" s="223">
        <f ca="1">ROUND((C5+C19)*F20,0)</f>
        <v>261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1971</v>
      </c>
      <c r="D22" s="226">
        <f ca="1">C26</f>
        <v>1.4E-3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1952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19</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2665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2665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19497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374003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326640</v>
      </c>
      <c r="D34" s="208"/>
      <c r="E34" s="211"/>
      <c r="F34" s="248"/>
      <c r="G34" s="210"/>
    </row>
    <row r="35" spans="1:7" ht="13.5" customHeight="1">
      <c r="A35" s="733" t="s">
        <v>351</v>
      </c>
      <c r="B35" s="206" t="s">
        <v>1527</v>
      </c>
      <c r="C35" s="211">
        <f ca="1">ROUND(C34*F35,0)</f>
        <v>9799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16332</v>
      </c>
      <c r="D36" s="211"/>
      <c r="E36" s="211"/>
      <c r="F36" s="250">
        <f>'数据-取费表'!B34</f>
        <v>0.05</v>
      </c>
      <c r="G36" s="251" t="s">
        <v>1530</v>
      </c>
    </row>
    <row r="37" spans="1:7" s="249" customFormat="1" ht="13.5" customHeight="1">
      <c r="A37" s="733" t="s">
        <v>353</v>
      </c>
      <c r="B37" s="206" t="s">
        <v>1531</v>
      </c>
      <c r="C37" s="240">
        <f ca="1">ROUND(E37*D37,0)</f>
        <v>16332</v>
      </c>
      <c r="D37" s="208">
        <f ca="1">D19</f>
        <v>81.66</v>
      </c>
      <c r="E37" s="240">
        <f>'数据-取费表'!B35</f>
        <v>200</v>
      </c>
      <c r="F37" s="250"/>
      <c r="G37" s="252"/>
    </row>
    <row r="38" spans="1:7" ht="13.5" customHeight="1">
      <c r="A38" s="733" t="s">
        <v>354</v>
      </c>
      <c r="B38" s="206" t="s">
        <v>1533</v>
      </c>
      <c r="C38" s="211">
        <f ca="1">ROUND(C34*F38,0)</f>
        <v>4900</v>
      </c>
      <c r="D38" s="211"/>
      <c r="E38" s="211"/>
      <c r="F38" s="250">
        <f>'数据-取费表'!B36</f>
        <v>1.4999999999999999E-2</v>
      </c>
      <c r="G38" s="210" t="s">
        <v>1528</v>
      </c>
    </row>
    <row r="39" spans="1:7" s="205" customFormat="1" ht="13.5" customHeight="1">
      <c r="A39" s="246" t="s">
        <v>1534</v>
      </c>
      <c r="B39" s="201" t="s">
        <v>1535</v>
      </c>
      <c r="C39" s="223">
        <f ca="1">ROUND(C33*F20,0)</f>
        <v>7480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27501</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26962</v>
      </c>
      <c r="D42" s="229"/>
      <c r="E42" s="229"/>
      <c r="F42" s="230"/>
      <c r="G42" s="3373" t="s">
        <v>1591</v>
      </c>
    </row>
    <row r="43" spans="1:7" ht="13.5" customHeight="1">
      <c r="A43" s="733" t="s">
        <v>347</v>
      </c>
      <c r="B43" s="206" t="s">
        <v>1545</v>
      </c>
      <c r="C43" s="229">
        <f ca="1">ROUND(IF('数据-取费表'!B22&lt;=1,C39*F22*'数据-取费表'!B20/2,C39*(POWER((1+F22),'数据-取费表'!B20/2)-1)),0)</f>
        <v>539</v>
      </c>
      <c r="D43" s="229"/>
      <c r="E43" s="229"/>
      <c r="F43" s="230"/>
      <c r="G43" s="3374"/>
    </row>
    <row r="44" spans="1:7" ht="13.5" customHeight="1">
      <c r="A44" s="733" t="s">
        <v>348</v>
      </c>
      <c r="B44" s="206" t="s">
        <v>1546</v>
      </c>
      <c r="C44" s="229">
        <f ca="1">ROUND(IF('数据-取费表'!B22&lt;=1,C40*F22*'数据-取费表'!B20/2,C40*(POWER((1+F22),'数据-取费表'!B20/2)-1)),4)</f>
        <v>1.4E-3</v>
      </c>
      <c r="D44" s="229"/>
      <c r="E44" s="229"/>
      <c r="F44" s="230"/>
      <c r="G44" s="3375"/>
    </row>
    <row r="45" spans="1:7" s="205" customFormat="1" ht="13.5" customHeight="1">
      <c r="A45" s="246" t="s">
        <v>1547</v>
      </c>
      <c r="B45" s="235" t="s">
        <v>1513</v>
      </c>
      <c r="C45" s="236">
        <f ca="1">C46</f>
        <v>76297</v>
      </c>
      <c r="D45" s="226">
        <f ca="1">C47</f>
        <v>4.0000000000000001E-3</v>
      </c>
      <c r="E45" s="227" t="s">
        <v>1539</v>
      </c>
      <c r="F45" s="237">
        <f ca="1">F27</f>
        <v>0.2</v>
      </c>
      <c r="G45" s="238" t="s">
        <v>1548</v>
      </c>
    </row>
    <row r="46" spans="1:7" s="205" customFormat="1" ht="13.5" customHeight="1">
      <c r="A46" s="733" t="s">
        <v>346</v>
      </c>
      <c r="B46" s="239" t="s">
        <v>1549</v>
      </c>
      <c r="C46" s="240">
        <f ca="1">ROUND((C33+C39)*F27,0)</f>
        <v>76297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526735</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395051</v>
      </c>
      <c r="D51" s="223"/>
      <c r="E51" s="223"/>
      <c r="F51" s="255"/>
      <c r="G51" s="225" t="s">
        <v>1560</v>
      </c>
    </row>
    <row r="52" spans="1:7" s="199" customFormat="1" ht="16.5" thickBot="1">
      <c r="A52" s="256" t="s">
        <v>1561</v>
      </c>
      <c r="B52" s="257"/>
      <c r="C52" s="258">
        <f ca="1">C31+C51</f>
        <v>414548</v>
      </c>
      <c r="D52" s="257"/>
      <c r="E52" s="257"/>
      <c r="F52" s="257"/>
      <c r="G52" s="259"/>
    </row>
    <row r="55" spans="1:7" ht="15">
      <c r="B55" s="261" t="s">
        <v>1562</v>
      </c>
      <c r="C55" s="262"/>
    </row>
    <row r="56" spans="1:7">
      <c r="B56" s="264" t="s">
        <v>802</v>
      </c>
      <c r="C56" s="266">
        <f ca="1">1-C57</f>
        <v>4.7000000000000042E-2</v>
      </c>
    </row>
    <row r="57" spans="1:7">
      <c r="B57" s="264" t="s">
        <v>803</v>
      </c>
      <c r="C57" s="265">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81.66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81.66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30801</v>
      </c>
      <c r="C2" s="2" t="s">
        <v>106</v>
      </c>
      <c r="D2" s="190"/>
      <c r="E2" s="190"/>
      <c r="F2" s="190"/>
      <c r="G2" s="190"/>
    </row>
    <row r="3" spans="1:7" s="191" customFormat="1" ht="18" customHeight="1" thickBot="1">
      <c r="A3" s="194" t="s">
        <v>58</v>
      </c>
      <c r="B3" s="195">
        <f ca="1">ROUND(B2*10000/'数据-汇总表'!E3,0)</f>
        <v>3771859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81.66</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81.66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81.66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1.4E-3</v>
      </c>
      <c r="D44" s="229"/>
      <c r="E44" s="229"/>
      <c r="F44" s="230"/>
      <c r="G44" s="3375"/>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54</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41</v>
      </c>
      <c r="D51" s="223"/>
      <c r="E51" s="223"/>
      <c r="F51" s="255"/>
      <c r="G51" s="225" t="s">
        <v>37</v>
      </c>
    </row>
    <row r="52" spans="1:7" s="199" customFormat="1" ht="16.5" thickBot="1">
      <c r="A52" s="256" t="s">
        <v>38</v>
      </c>
      <c r="B52" s="257"/>
      <c r="C52" s="258">
        <f ca="1">C31+C51</f>
        <v>30801</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81.66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45454</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2024-06-11T02:03:22Z</dcterms:modified>
</cp:coreProperties>
</file>