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99" firstSheet="8"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J12" i="67" l="1"/>
  <c r="H33" i="21" l="1"/>
  <c r="F33" i="21"/>
  <c r="M59" i="21"/>
  <c r="J37" i="21"/>
  <c r="H37" i="21"/>
  <c r="F37" i="21"/>
  <c r="E129" i="21"/>
  <c r="F129" i="21"/>
  <c r="G129" i="21" s="1"/>
  <c r="D129" i="21"/>
  <c r="AO19" i="81"/>
  <c r="D91" i="21"/>
  <c r="E91" i="21" s="1"/>
  <c r="I23" i="21"/>
  <c r="G23" i="21"/>
  <c r="I19" i="21"/>
  <c r="G19" i="21"/>
  <c r="I15" i="21"/>
  <c r="G15" i="21"/>
  <c r="E15" i="21"/>
  <c r="I35" i="81"/>
  <c r="I39" i="81" s="1"/>
  <c r="J39" i="81" s="1"/>
  <c r="I36" i="81"/>
  <c r="I29" i="81"/>
  <c r="I30" i="81"/>
  <c r="I31" i="81"/>
  <c r="I32" i="81"/>
  <c r="I33" i="81"/>
  <c r="I34" i="81"/>
  <c r="I37" i="81"/>
  <c r="I28" i="81"/>
  <c r="M21" i="1"/>
  <c r="M20" i="1"/>
  <c r="D3" i="4"/>
  <c r="Y20" i="1"/>
  <c r="H60" i="21" l="1"/>
  <c r="D60" i="21"/>
  <c r="D59" i="21"/>
  <c r="E59" i="21" s="1"/>
  <c r="F59" i="21" s="1"/>
  <c r="F27" i="21" l="1"/>
  <c r="J33" i="21"/>
  <c r="Q50" i="81"/>
  <c r="Q51" i="81"/>
  <c r="Q49" i="81"/>
  <c r="I5" i="21"/>
  <c r="G5" i="21"/>
  <c r="X9" i="81"/>
  <c r="X10" i="81"/>
  <c r="X11" i="81"/>
  <c r="X12" i="81"/>
  <c r="X13" i="81"/>
  <c r="X14" i="81"/>
  <c r="D66" i="21" l="1"/>
  <c r="B65" i="21"/>
  <c r="I37" i="21"/>
  <c r="G37" i="21"/>
  <c r="E37" i="21"/>
  <c r="G59" i="21" l="1"/>
  <c r="H59" i="21" s="1"/>
  <c r="I33" i="21"/>
  <c r="G33" i="21"/>
  <c r="E33" i="21"/>
  <c r="E5" i="21"/>
  <c r="J59" i="21" l="1"/>
  <c r="K59" i="21" s="1"/>
  <c r="L59" i="21" s="1"/>
  <c r="I59" i="2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U23" i="79" s="1"/>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N3" i="79" s="1"/>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F29" i="34"/>
  <c r="AA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D127" i="21"/>
  <c r="E127"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H27" i="21" s="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J32" i="21"/>
  <c r="H32" i="21"/>
  <c r="AB32" i="21" s="1"/>
  <c r="F32" i="21"/>
  <c r="AA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Q17" i="21"/>
  <c r="Z17" i="21" s="1"/>
  <c r="H17" i="21"/>
  <c r="AB17" i="21" s="1"/>
  <c r="C17" i="21"/>
  <c r="E17" i="21" s="1"/>
  <c r="Q15" i="21"/>
  <c r="Z15" i="21" s="1"/>
  <c r="H15" i="21"/>
  <c r="AB15" i="21" s="1"/>
  <c r="C15" i="21"/>
  <c r="Q14" i="21"/>
  <c r="Z14" i="21" s="1"/>
  <c r="F14" i="21"/>
  <c r="AA14" i="21" s="1"/>
  <c r="Q13" i="21"/>
  <c r="Z13" i="21" s="1"/>
  <c r="J13" i="21"/>
  <c r="AC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N22"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4" i="51"/>
  <c r="B18"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9" i="76"/>
  <c r="M8" i="67"/>
  <c r="D35" i="9"/>
  <c r="E9" i="76"/>
  <c r="AO7" i="1"/>
  <c r="D2" i="37"/>
  <c r="M27" i="67"/>
  <c r="AO12" i="1"/>
  <c r="E11" i="76"/>
  <c r="E7" i="76"/>
  <c r="L47" i="67"/>
  <c r="B13" i="76"/>
  <c r="B10" i="76"/>
  <c r="M26" i="67"/>
  <c r="E2" i="68"/>
  <c r="B11" i="76"/>
  <c r="F9" i="67"/>
  <c r="D34" i="9"/>
  <c r="F42" i="67"/>
  <c r="F6" i="67"/>
  <c r="D2" i="35"/>
  <c r="D2" i="34"/>
  <c r="F37" i="67"/>
  <c r="F36" i="67"/>
  <c r="E12" i="76"/>
  <c r="C76" i="67"/>
  <c r="D2" i="36"/>
  <c r="E8" i="76"/>
  <c r="AO8" i="1"/>
  <c r="AO9" i="1"/>
  <c r="M24" i="67"/>
  <c r="F20" i="31"/>
  <c r="F16" i="67"/>
  <c r="AO13" i="1"/>
  <c r="B8" i="76"/>
  <c r="M28" i="67"/>
  <c r="E13" i="76"/>
  <c r="E2" i="69"/>
  <c r="B7" i="76"/>
  <c r="M22" i="67"/>
  <c r="F40" i="67"/>
  <c r="E10" i="76"/>
  <c r="F26" i="67"/>
  <c r="J15" i="67"/>
  <c r="F38" i="67"/>
  <c r="M9" i="67"/>
  <c r="F13" i="67"/>
  <c r="D2" i="33"/>
  <c r="B12" i="76"/>
  <c r="M23" i="67"/>
  <c r="AO10" i="1"/>
  <c r="D2" i="21"/>
  <c r="F8" i="67"/>
  <c r="M6" i="67"/>
  <c r="AO11" i="1"/>
  <c r="BA77" i="3" l="1"/>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F14" i="40"/>
  <c r="S14" i="40" s="1"/>
  <c r="BL30" i="3"/>
  <c r="G117" i="3"/>
  <c r="BL16" i="3"/>
  <c r="AZ16" i="3" s="1"/>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AZ186" i="3" s="1"/>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BL29" i="3"/>
  <c r="G30" i="3"/>
  <c r="BL38" i="3"/>
  <c r="G39" i="3"/>
  <c r="BA40" i="3"/>
  <c r="BL42" i="3"/>
  <c r="BL46" i="3"/>
  <c r="BA48" i="3"/>
  <c r="BL54" i="3"/>
  <c r="BA57" i="3"/>
  <c r="AZ57" i="3" s="1"/>
  <c r="G61" i="3"/>
  <c r="BA67" i="3"/>
  <c r="BA93" i="3"/>
  <c r="BA109" i="3"/>
  <c r="AZ109" i="3" s="1"/>
  <c r="G151" i="3"/>
  <c r="BC5" i="3"/>
  <c r="BK5" i="3"/>
  <c r="BL14" i="3"/>
  <c r="BA16" i="3"/>
  <c r="BL18" i="3"/>
  <c r="BA25" i="3"/>
  <c r="BL32" i="3"/>
  <c r="AZ32" i="3" s="1"/>
  <c r="BL37" i="3"/>
  <c r="BA143" i="3"/>
  <c r="BL22" i="3"/>
  <c r="G23" i="3"/>
  <c r="BA24" i="3"/>
  <c r="BL26" i="3"/>
  <c r="BA33" i="3"/>
  <c r="BL40" i="3"/>
  <c r="BL44" i="3"/>
  <c r="K5" i="4"/>
  <c r="B47" i="48" s="1"/>
  <c r="G91" i="3"/>
  <c r="BA103" i="3"/>
  <c r="AZ103" i="3" s="1"/>
  <c r="BA107" i="3"/>
  <c r="G111" i="3"/>
  <c r="BA113" i="3"/>
  <c r="BA117" i="3"/>
  <c r="AZ117" i="3" s="1"/>
  <c r="BL120" i="3"/>
  <c r="G131" i="3"/>
  <c r="BL134" i="3"/>
  <c r="BA137" i="3"/>
  <c r="AZ137" i="3" s="1"/>
  <c r="BA147" i="3"/>
  <c r="G155" i="3"/>
  <c r="BA157" i="3"/>
  <c r="G159" i="3"/>
  <c r="G163" i="3"/>
  <c r="BL166" i="3"/>
  <c r="G167" i="3"/>
  <c r="BA169" i="3"/>
  <c r="AZ169" i="3" s="1"/>
  <c r="BA175" i="3"/>
  <c r="BA189" i="3"/>
  <c r="G191" i="3"/>
  <c r="BA197" i="3"/>
  <c r="AZ197" i="3" s="1"/>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AZ55" i="3" s="1"/>
  <c r="BA59" i="3"/>
  <c r="G63" i="3"/>
  <c r="G65" i="3"/>
  <c r="BA65" i="3"/>
  <c r="AZ65" i="3" s="1"/>
  <c r="G69" i="3"/>
  <c r="BA69" i="3"/>
  <c r="BL72" i="3"/>
  <c r="G83" i="3"/>
  <c r="BL86" i="3"/>
  <c r="BA89" i="3"/>
  <c r="G93" i="3"/>
  <c r="BA99" i="3"/>
  <c r="G107" i="3"/>
  <c r="BA119" i="3"/>
  <c r="BA123" i="3"/>
  <c r="G127" i="3"/>
  <c r="G129" i="3"/>
  <c r="BA129" i="3"/>
  <c r="G133" i="3"/>
  <c r="BA133" i="3"/>
  <c r="AZ133" i="3" s="1"/>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AZ261" i="3" s="1"/>
  <c r="BL262" i="3"/>
  <c r="G263" i="3"/>
  <c r="G268" i="3"/>
  <c r="G273" i="3"/>
  <c r="BL280" i="3"/>
  <c r="G283" i="3"/>
  <c r="BA289" i="3"/>
  <c r="G292" i="3"/>
  <c r="BA297" i="3"/>
  <c r="G300" i="3"/>
  <c r="BA305" i="3"/>
  <c r="BA309" i="3"/>
  <c r="AZ309" i="3" s="1"/>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AZ451" i="3" s="1"/>
  <c r="BA459" i="3"/>
  <c r="G462" i="3"/>
  <c r="BA467" i="3"/>
  <c r="BA475" i="3"/>
  <c r="AZ475" i="3" s="1"/>
  <c r="G478" i="3"/>
  <c r="BA483" i="3"/>
  <c r="BA491" i="3"/>
  <c r="BL493" i="3"/>
  <c r="G494" i="3"/>
  <c r="BA500" i="3"/>
  <c r="BL509" i="3"/>
  <c r="G510" i="3"/>
  <c r="BA516" i="3"/>
  <c r="BL525" i="3"/>
  <c r="G526" i="3"/>
  <c r="BA532" i="3"/>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AZ439" i="3" s="1"/>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AZ535" i="3" s="1"/>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AZ31" i="3" s="1"/>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BA187" i="3"/>
  <c r="BA194" i="3"/>
  <c r="AZ194" i="3" s="1"/>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24"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AZ23" i="3" s="1"/>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AZ33" i="3" s="1"/>
  <c r="G34" i="3"/>
  <c r="G35" i="3"/>
  <c r="BA37" i="3"/>
  <c r="BL41" i="3"/>
  <c r="AZ41" i="3" s="1"/>
  <c r="G42" i="3"/>
  <c r="G43" i="3"/>
  <c r="BA44" i="3"/>
  <c r="AZ44" i="3" s="1"/>
  <c r="BA45" i="3"/>
  <c r="AZ45" i="3" s="1"/>
  <c r="BL48" i="3"/>
  <c r="AZ48" i="3" s="1"/>
  <c r="BL62" i="3"/>
  <c r="BL64" i="3"/>
  <c r="BL78" i="3"/>
  <c r="BL80" i="3"/>
  <c r="BL94" i="3"/>
  <c r="BL96" i="3"/>
  <c r="BL110" i="3"/>
  <c r="BL112" i="3"/>
  <c r="BL126" i="3"/>
  <c r="BL128" i="3"/>
  <c r="BL142" i="3"/>
  <c r="BL144" i="3"/>
  <c r="G149" i="3"/>
  <c r="BL158" i="3"/>
  <c r="G165" i="3"/>
  <c r="BA166" i="3"/>
  <c r="AZ166" i="3" s="1"/>
  <c r="BA167" i="3"/>
  <c r="BL172" i="3"/>
  <c r="G175" i="3"/>
  <c r="BA178" i="3"/>
  <c r="BA179" i="3"/>
  <c r="BL183" i="3"/>
  <c r="G184" i="3"/>
  <c r="G187" i="3"/>
  <c r="BL191" i="3"/>
  <c r="G192" i="3"/>
  <c r="G195" i="3"/>
  <c r="BL200" i="3"/>
  <c r="G205" i="3"/>
  <c r="BA206" i="3"/>
  <c r="AZ206" i="3" s="1"/>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AZ326" i="3" s="1"/>
  <c r="BA341"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D7" i="77" s="1"/>
  <c r="C26" i="77" s="1"/>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BL572" i="3"/>
  <c r="G573" i="3"/>
  <c r="BA576" i="3"/>
  <c r="AZ576" i="3" s="1"/>
  <c r="BA577" i="3"/>
  <c r="BL581" i="3"/>
  <c r="G582" i="3"/>
  <c r="G585" i="3"/>
  <c r="P16" i="1"/>
  <c r="C11" i="12" s="1"/>
  <c r="C12" i="12" s="1"/>
  <c r="D8" i="74"/>
  <c r="E85" i="21"/>
  <c r="F85" i="21" s="1"/>
  <c r="G85" i="21" s="1"/>
  <c r="H23" i="21"/>
  <c r="AB23" i="21" s="1"/>
  <c r="J27" i="21"/>
  <c r="AC27" i="21" s="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AZ399" i="3" s="1"/>
  <c r="BA406" i="3"/>
  <c r="AZ406" i="3" s="1"/>
  <c r="BA407" i="3"/>
  <c r="AZ407" i="3" s="1"/>
  <c r="BL412" i="3"/>
  <c r="BL415" i="3"/>
  <c r="AZ415" i="3" s="1"/>
  <c r="BA422" i="3"/>
  <c r="BA423" i="3"/>
  <c r="AZ423" i="3" s="1"/>
  <c r="BL428" i="3"/>
  <c r="BL431" i="3"/>
  <c r="AZ431" i="3" s="1"/>
  <c r="BA438" i="3"/>
  <c r="BA439" i="3"/>
  <c r="BL444" i="3"/>
  <c r="BA448" i="3"/>
  <c r="AZ448" i="3" s="1"/>
  <c r="BA449" i="3"/>
  <c r="AZ449" i="3" s="1"/>
  <c r="BL454" i="3"/>
  <c r="BL457" i="3"/>
  <c r="BA464" i="3"/>
  <c r="AZ464" i="3" s="1"/>
  <c r="BA465" i="3"/>
  <c r="BL470" i="3"/>
  <c r="BL473" i="3"/>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BA291" i="3"/>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AZ517" i="3" s="1"/>
  <c r="G518" i="3"/>
  <c r="G521" i="3"/>
  <c r="BA524" i="3"/>
  <c r="AZ524" i="3" s="1"/>
  <c r="BA525" i="3"/>
  <c r="AZ525" i="3" s="1"/>
  <c r="BL530" i="3"/>
  <c r="BL533" i="3"/>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AZ190" i="3"/>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H45" i="21"/>
  <c r="AB45" i="21" s="1"/>
  <c r="F45" i="21"/>
  <c r="AA45" i="21" s="1"/>
  <c r="U8" i="33"/>
  <c r="C15" i="78"/>
  <c r="BN5" i="3"/>
  <c r="BP5" i="3"/>
  <c r="BR5" i="3"/>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BL53" i="3"/>
  <c r="G54" i="3"/>
  <c r="BA54" i="3"/>
  <c r="AZ54" i="3" s="1"/>
  <c r="BL55" i="3"/>
  <c r="G56" i="3"/>
  <c r="BA56" i="3"/>
  <c r="AZ56" i="3" s="1"/>
  <c r="BL57" i="3"/>
  <c r="G58" i="3"/>
  <c r="BA58" i="3"/>
  <c r="AZ58" i="3" s="1"/>
  <c r="BL59" i="3"/>
  <c r="G60" i="3"/>
  <c r="BA60" i="3"/>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BL93" i="3"/>
  <c r="G94" i="3"/>
  <c r="BA94" i="3"/>
  <c r="AZ94" i="3" s="1"/>
  <c r="BL95" i="3"/>
  <c r="G96" i="3"/>
  <c r="BA96" i="3"/>
  <c r="AZ96" i="3" s="1"/>
  <c r="BL97" i="3"/>
  <c r="G98" i="3"/>
  <c r="BA98" i="3"/>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BL111" i="3"/>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BL157" i="3"/>
  <c r="G158" i="3"/>
  <c r="BA158" i="3"/>
  <c r="AZ158" i="3" s="1"/>
  <c r="BL159" i="3"/>
  <c r="G160" i="3"/>
  <c r="BA160" i="3"/>
  <c r="AZ160" i="3" s="1"/>
  <c r="BL161" i="3"/>
  <c r="G162" i="3"/>
  <c r="BA162" i="3"/>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AZ332" i="3" s="1"/>
  <c r="BL333" i="3"/>
  <c r="G334" i="3"/>
  <c r="BA336" i="3"/>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G366" i="3"/>
  <c r="BA368" i="3"/>
  <c r="AZ368" i="3" s="1"/>
  <c r="BL369" i="3"/>
  <c r="AZ369" i="3" s="1"/>
  <c r="G370" i="3"/>
  <c r="BA372" i="3"/>
  <c r="AZ372" i="3" s="1"/>
  <c r="BL373" i="3"/>
  <c r="AZ373" i="3" s="1"/>
  <c r="G374" i="3"/>
  <c r="BA376" i="3"/>
  <c r="BL377" i="3"/>
  <c r="AZ377" i="3" s="1"/>
  <c r="G378" i="3"/>
  <c r="BA380" i="3"/>
  <c r="AZ380" i="3" s="1"/>
  <c r="BL381" i="3"/>
  <c r="AZ381" i="3" s="1"/>
  <c r="G382" i="3"/>
  <c r="BA384" i="3"/>
  <c r="AZ384" i="3" s="1"/>
  <c r="BL385" i="3"/>
  <c r="AZ385" i="3" s="1"/>
  <c r="G386" i="3"/>
  <c r="BA388" i="3"/>
  <c r="BL389" i="3"/>
  <c r="G390" i="3"/>
  <c r="BA392" i="3"/>
  <c r="AZ392" i="3" s="1"/>
  <c r="BL393" i="3"/>
  <c r="AZ393" i="3" s="1"/>
  <c r="G394" i="3"/>
  <c r="BA396" i="3"/>
  <c r="AZ396" i="3" s="1"/>
  <c r="BL397" i="3"/>
  <c r="AZ397" i="3" s="1"/>
  <c r="G398" i="3"/>
  <c r="BA400" i="3"/>
  <c r="AZ400" i="3" s="1"/>
  <c r="BL401" i="3"/>
  <c r="AZ401" i="3" s="1"/>
  <c r="G402" i="3"/>
  <c r="BA404" i="3"/>
  <c r="BL405" i="3"/>
  <c r="AZ405" i="3" s="1"/>
  <c r="G406" i="3"/>
  <c r="BA408" i="3"/>
  <c r="BL409" i="3"/>
  <c r="G410" i="3"/>
  <c r="BA412" i="3"/>
  <c r="AZ412" i="3" s="1"/>
  <c r="BL413" i="3"/>
  <c r="G414" i="3"/>
  <c r="BA416" i="3"/>
  <c r="AZ416" i="3" s="1"/>
  <c r="BL417" i="3"/>
  <c r="AZ417" i="3" s="1"/>
  <c r="G418" i="3"/>
  <c r="BA420" i="3"/>
  <c r="AZ420" i="3" s="1"/>
  <c r="BL421" i="3"/>
  <c r="AZ421" i="3" s="1"/>
  <c r="G422" i="3"/>
  <c r="BA424" i="3"/>
  <c r="AZ424" i="3" s="1"/>
  <c r="BL425" i="3"/>
  <c r="AZ425" i="3" s="1"/>
  <c r="G426" i="3"/>
  <c r="BA428" i="3"/>
  <c r="AZ428" i="3" s="1"/>
  <c r="BL429" i="3"/>
  <c r="G430" i="3"/>
  <c r="BA432" i="3"/>
  <c r="AZ432" i="3" s="1"/>
  <c r="BL433" i="3"/>
  <c r="AZ433" i="3" s="1"/>
  <c r="G434" i="3"/>
  <c r="BA436" i="3"/>
  <c r="AZ436" i="3" s="1"/>
  <c r="BL437" i="3"/>
  <c r="AZ437" i="3" s="1"/>
  <c r="G438" i="3"/>
  <c r="BA440" i="3"/>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AZ447" i="3" s="1"/>
  <c r="G448" i="3"/>
  <c r="BA450" i="3"/>
  <c r="BL451" i="3"/>
  <c r="G452" i="3"/>
  <c r="BA454" i="3"/>
  <c r="AZ454" i="3" s="1"/>
  <c r="BL455" i="3"/>
  <c r="G456" i="3"/>
  <c r="BA458" i="3"/>
  <c r="AZ458" i="3" s="1"/>
  <c r="BL459" i="3"/>
  <c r="G460" i="3"/>
  <c r="BA462" i="3"/>
  <c r="BL463" i="3"/>
  <c r="G464" i="3"/>
  <c r="BA466" i="3"/>
  <c r="AZ466" i="3" s="1"/>
  <c r="BL467" i="3"/>
  <c r="AZ467" i="3" s="1"/>
  <c r="G468" i="3"/>
  <c r="BA470" i="3"/>
  <c r="AZ470" i="3" s="1"/>
  <c r="BL471" i="3"/>
  <c r="G472" i="3"/>
  <c r="BA474" i="3"/>
  <c r="AZ474" i="3" s="1"/>
  <c r="BL475" i="3"/>
  <c r="G476" i="3"/>
  <c r="BA478" i="3"/>
  <c r="AZ478" i="3" s="1"/>
  <c r="BL479" i="3"/>
  <c r="G480" i="3"/>
  <c r="BA482" i="3"/>
  <c r="BL483" i="3"/>
  <c r="G484" i="3"/>
  <c r="BA486" i="3"/>
  <c r="AZ486" i="3" s="1"/>
  <c r="BL487" i="3"/>
  <c r="AZ487" i="3" s="1"/>
  <c r="G488" i="3"/>
  <c r="BA490" i="3"/>
  <c r="AZ490" i="3" s="1"/>
  <c r="BL491" i="3"/>
  <c r="G492" i="3"/>
  <c r="BA494" i="3"/>
  <c r="BL495" i="3"/>
  <c r="AZ495" i="3" s="1"/>
  <c r="G496" i="3"/>
  <c r="BA498" i="3"/>
  <c r="AZ498" i="3" s="1"/>
  <c r="BL499" i="3"/>
  <c r="G500" i="3"/>
  <c r="BA502" i="3"/>
  <c r="AZ502" i="3" s="1"/>
  <c r="BL503" i="3"/>
  <c r="AZ503" i="3" s="1"/>
  <c r="G504" i="3"/>
  <c r="BA506" i="3"/>
  <c r="AZ506" i="3" s="1"/>
  <c r="BL507" i="3"/>
  <c r="AZ507" i="3" s="1"/>
  <c r="G508" i="3"/>
  <c r="BA510" i="3"/>
  <c r="AZ510" i="3" s="1"/>
  <c r="BL511" i="3"/>
  <c r="AZ511" i="3" s="1"/>
  <c r="G512" i="3"/>
  <c r="BA514" i="3"/>
  <c r="BL515" i="3"/>
  <c r="G516" i="3"/>
  <c r="BA518" i="3"/>
  <c r="AZ518" i="3" s="1"/>
  <c r="BL519" i="3"/>
  <c r="G520" i="3"/>
  <c r="BA522" i="3"/>
  <c r="AZ522" i="3" s="1"/>
  <c r="BL523" i="3"/>
  <c r="G524" i="3"/>
  <c r="BA526" i="3"/>
  <c r="BL527" i="3"/>
  <c r="AZ527" i="3" s="1"/>
  <c r="G528" i="3"/>
  <c r="BA530" i="3"/>
  <c r="AZ530" i="3" s="1"/>
  <c r="BL531" i="3"/>
  <c r="AZ531" i="3" s="1"/>
  <c r="G532" i="3"/>
  <c r="BA534" i="3"/>
  <c r="AZ534" i="3" s="1"/>
  <c r="BL535" i="3"/>
  <c r="G536" i="3"/>
  <c r="BA538" i="3"/>
  <c r="AZ538" i="3" s="1"/>
  <c r="BL539" i="3"/>
  <c r="G540" i="3"/>
  <c r="BA542" i="3"/>
  <c r="AZ542" i="3" s="1"/>
  <c r="BL543" i="3"/>
  <c r="AZ543" i="3" s="1"/>
  <c r="G544" i="3"/>
  <c r="BA546" i="3"/>
  <c r="BL547" i="3"/>
  <c r="G548" i="3"/>
  <c r="BA550" i="3"/>
  <c r="AZ550" i="3" s="1"/>
  <c r="BL551" i="3"/>
  <c r="G552" i="3"/>
  <c r="BA554" i="3"/>
  <c r="AZ554" i="3" s="1"/>
  <c r="BL555" i="3"/>
  <c r="G556" i="3"/>
  <c r="BA558" i="3"/>
  <c r="AZ558" i="3" s="1"/>
  <c r="BL559" i="3"/>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AZ15" i="3"/>
  <c r="AZ19" i="3"/>
  <c r="AZ21" i="3"/>
  <c r="AZ25" i="3"/>
  <c r="AZ27" i="3"/>
  <c r="AZ29" i="3"/>
  <c r="AZ35" i="3"/>
  <c r="AZ37" i="3"/>
  <c r="AZ39" i="3"/>
  <c r="AZ43" i="3"/>
  <c r="AZ47" i="3"/>
  <c r="AZ49" i="3"/>
  <c r="AZ51" i="3"/>
  <c r="AZ53" i="3"/>
  <c r="AZ59" i="3"/>
  <c r="AZ61" i="3"/>
  <c r="AZ63" i="3"/>
  <c r="AZ67" i="3"/>
  <c r="AZ69" i="3"/>
  <c r="AZ71" i="3"/>
  <c r="AZ73" i="3"/>
  <c r="AZ75" i="3"/>
  <c r="AZ77" i="3"/>
  <c r="AZ79" i="3"/>
  <c r="AZ83" i="3"/>
  <c r="AZ85" i="3"/>
  <c r="AZ87" i="3"/>
  <c r="AZ89" i="3"/>
  <c r="AZ91" i="3"/>
  <c r="AZ93" i="3"/>
  <c r="AZ95" i="3"/>
  <c r="AZ97" i="3"/>
  <c r="AZ99" i="3"/>
  <c r="AZ101" i="3"/>
  <c r="AZ105" i="3"/>
  <c r="AZ107" i="3"/>
  <c r="AZ111" i="3"/>
  <c r="AZ113" i="3"/>
  <c r="AZ115" i="3"/>
  <c r="AZ119" i="3"/>
  <c r="AZ121" i="3"/>
  <c r="AZ123" i="3"/>
  <c r="AZ125" i="3"/>
  <c r="AZ127" i="3"/>
  <c r="AZ129" i="3"/>
  <c r="AZ131" i="3"/>
  <c r="AZ135" i="3"/>
  <c r="AZ139" i="3"/>
  <c r="AZ141" i="3"/>
  <c r="AZ143" i="3"/>
  <c r="AZ145" i="3"/>
  <c r="AZ147" i="3"/>
  <c r="AZ149" i="3"/>
  <c r="AZ151" i="3"/>
  <c r="AZ155" i="3"/>
  <c r="AZ157" i="3"/>
  <c r="AZ159" i="3"/>
  <c r="AZ161" i="3"/>
  <c r="AZ163" i="3"/>
  <c r="AZ165" i="3"/>
  <c r="AZ173" i="3"/>
  <c r="AZ177" i="3"/>
  <c r="AZ181" i="3"/>
  <c r="AZ185" i="3"/>
  <c r="AZ189" i="3"/>
  <c r="AZ193" i="3"/>
  <c r="AZ201" i="3"/>
  <c r="AZ205" i="3"/>
  <c r="AZ209" i="3"/>
  <c r="AZ213" i="3"/>
  <c r="AZ217" i="3"/>
  <c r="AZ221" i="3"/>
  <c r="AZ225" i="3"/>
  <c r="AZ229" i="3"/>
  <c r="AZ233" i="3"/>
  <c r="AZ237" i="3"/>
  <c r="AZ241" i="3"/>
  <c r="AZ245" i="3"/>
  <c r="AZ249" i="3"/>
  <c r="AZ253" i="3"/>
  <c r="AZ257" i="3"/>
  <c r="AZ265" i="3"/>
  <c r="AZ273" i="3"/>
  <c r="AZ277" i="3"/>
  <c r="AZ281" i="3"/>
  <c r="AZ285" i="3"/>
  <c r="AZ289" i="3"/>
  <c r="AZ293" i="3"/>
  <c r="AZ297" i="3"/>
  <c r="AZ301" i="3"/>
  <c r="AZ305" i="3"/>
  <c r="AZ313" i="3"/>
  <c r="AZ317" i="3"/>
  <c r="AZ321" i="3"/>
  <c r="AZ325" i="3"/>
  <c r="AZ329" i="3"/>
  <c r="AZ337" i="3"/>
  <c r="AZ341" i="3"/>
  <c r="AZ345" i="3"/>
  <c r="AZ349" i="3"/>
  <c r="AZ353" i="3"/>
  <c r="AZ357" i="3"/>
  <c r="AB8" i="71"/>
  <c r="X8" i="71"/>
  <c r="AA8" i="71"/>
  <c r="Y8" i="71"/>
  <c r="Z8" i="71" s="1"/>
  <c r="A118" i="9"/>
  <c r="A2" i="9"/>
  <c r="M56" i="9"/>
  <c r="J56" i="9"/>
  <c r="J57" i="9" s="1"/>
  <c r="J59" i="9" s="1"/>
  <c r="J61" i="9" s="1"/>
  <c r="N56" i="9"/>
  <c r="K56" i="9"/>
  <c r="I4" i="6"/>
  <c r="AZ435" i="3"/>
  <c r="AZ443" i="3"/>
  <c r="AZ459" i="3"/>
  <c r="AZ463" i="3"/>
  <c r="AZ471" i="3"/>
  <c r="AZ483" i="3"/>
  <c r="AZ491" i="3"/>
  <c r="AZ515" i="3"/>
  <c r="AZ523" i="3"/>
  <c r="AZ539" i="3"/>
  <c r="AZ547" i="3"/>
  <c r="AZ559" i="3"/>
  <c r="AZ579" i="3"/>
  <c r="AZ587" i="3"/>
  <c r="AR8" i="1"/>
  <c r="AQ8" i="1"/>
  <c r="T8" i="1"/>
  <c r="AQ9" i="1"/>
  <c r="T9" i="1"/>
  <c r="AR9" i="1"/>
  <c r="C18" i="9"/>
  <c r="D18" i="9" s="1"/>
  <c r="C94" i="9"/>
  <c r="C92" i="9"/>
  <c r="H89" i="21"/>
  <c r="I89" i="21" s="1"/>
  <c r="J89" i="21" s="1"/>
  <c r="K89" i="21" s="1"/>
  <c r="L89" i="21" s="1"/>
  <c r="M89" i="21" s="1"/>
  <c r="H26" i="21"/>
  <c r="AB26" i="21" s="1"/>
  <c r="F26" i="21"/>
  <c r="AA26" i="21" s="1"/>
  <c r="W30" i="21"/>
  <c r="AQ7" i="1"/>
  <c r="T7" i="1"/>
  <c r="AR7" i="1"/>
  <c r="AR10" i="1"/>
  <c r="AQ10" i="1"/>
  <c r="T10" i="1"/>
  <c r="AB13" i="21"/>
  <c r="U13" i="21"/>
  <c r="S37" i="21"/>
  <c r="F127" i="21"/>
  <c r="J44" i="21" s="1"/>
  <c r="H44" i="21"/>
  <c r="AC46" i="21"/>
  <c r="W46" i="21"/>
  <c r="AC27" i="33"/>
  <c r="W27" i="33"/>
  <c r="AC29" i="33"/>
  <c r="W29" i="33"/>
  <c r="AC31" i="33"/>
  <c r="W31" i="33"/>
  <c r="AB45" i="33"/>
  <c r="U45" i="33"/>
  <c r="B6" i="1"/>
  <c r="E6" i="1" s="1"/>
  <c r="K6" i="1"/>
  <c r="O16" i="1"/>
  <c r="G7" i="1"/>
  <c r="B8" i="1"/>
  <c r="E8" i="1" s="1"/>
  <c r="K8" i="1"/>
  <c r="M8" i="1" s="1"/>
  <c r="R8" i="1"/>
  <c r="G9" i="1"/>
  <c r="B10" i="1"/>
  <c r="E10" i="1" s="1"/>
  <c r="K10" i="1"/>
  <c r="M10" i="1" s="1"/>
  <c r="R10" i="1"/>
  <c r="K11" i="1"/>
  <c r="M11" i="1" s="1"/>
  <c r="T11" i="1"/>
  <c r="K12" i="1"/>
  <c r="M12" i="1" s="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R35" i="77"/>
  <c r="U34" i="77" s="1"/>
  <c r="U8" i="21"/>
  <c r="U9" i="21"/>
  <c r="S10" i="21"/>
  <c r="W10" i="21"/>
  <c r="U11" i="21"/>
  <c r="S12" i="21"/>
  <c r="W12" i="21"/>
  <c r="S14" i="21"/>
  <c r="F15" i="21"/>
  <c r="J15" i="21"/>
  <c r="F17" i="21"/>
  <c r="J17" i="21"/>
  <c r="F19" i="21"/>
  <c r="J19" i="21"/>
  <c r="S21" i="21"/>
  <c r="W21" i="21"/>
  <c r="F23" i="21"/>
  <c r="J23" i="21"/>
  <c r="U25" i="21"/>
  <c r="F28" i="21"/>
  <c r="AA28" i="21" s="1"/>
  <c r="F30" i="21"/>
  <c r="U31" i="21"/>
  <c r="U32" i="21"/>
  <c r="U39" i="21"/>
  <c r="S40" i="21"/>
  <c r="W40" i="21"/>
  <c r="U41" i="21"/>
  <c r="F44" i="21"/>
  <c r="U45"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U9" i="34"/>
  <c r="W10" i="34"/>
  <c r="S12" i="34"/>
  <c r="U13" i="34"/>
  <c r="W14" i="34"/>
  <c r="S15" i="34"/>
  <c r="W17" i="34"/>
  <c r="S19" i="34"/>
  <c r="W21" i="34"/>
  <c r="S23" i="34"/>
  <c r="U25" i="34"/>
  <c r="S27" i="34"/>
  <c r="W29" i="34"/>
  <c r="S31" i="34"/>
  <c r="U32" i="34"/>
  <c r="AB33" i="34"/>
  <c r="U33" i="34"/>
  <c r="AC34" i="34"/>
  <c r="W34" i="34"/>
  <c r="AA38" i="34"/>
  <c r="AB41" i="34"/>
  <c r="U41" i="34"/>
  <c r="AC42" i="34"/>
  <c r="W42" i="34"/>
  <c r="AA46" i="34"/>
  <c r="AB47" i="34"/>
  <c r="AB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F30" i="11"/>
  <c r="F30" i="69"/>
  <c r="F48" i="69" s="1"/>
  <c r="B83" i="43"/>
  <c r="C15" i="40"/>
  <c r="B84" i="43"/>
  <c r="C17" i="40"/>
  <c r="B87" i="43"/>
  <c r="C23" i="40"/>
  <c r="B88" i="43"/>
  <c r="C25" i="40"/>
  <c r="F48" i="9"/>
  <c r="O52" i="9" s="1"/>
  <c r="F54" i="9"/>
  <c r="H112" i="9"/>
  <c r="G22" i="68"/>
  <c r="F30" i="68"/>
  <c r="F48" i="68" s="1"/>
  <c r="G25" i="12"/>
  <c r="G27" i="12"/>
  <c r="F31" i="12"/>
  <c r="D29" i="77"/>
  <c r="D32" i="77" s="1"/>
  <c r="W9" i="21"/>
  <c r="U10" i="21"/>
  <c r="S11" i="21"/>
  <c r="W11" i="21"/>
  <c r="U12" i="21"/>
  <c r="S13" i="21"/>
  <c r="W13" i="21"/>
  <c r="U14" i="21"/>
  <c r="U15" i="21"/>
  <c r="G17" i="21"/>
  <c r="I17" i="21"/>
  <c r="U17" i="21"/>
  <c r="U19" i="21"/>
  <c r="U21" i="21"/>
  <c r="U23" i="21"/>
  <c r="S25" i="21"/>
  <c r="W25" i="21"/>
  <c r="S29" i="21"/>
  <c r="U30" i="21"/>
  <c r="S31" i="21"/>
  <c r="W31" i="21"/>
  <c r="S39" i="21"/>
  <c r="W39" i="21"/>
  <c r="U40" i="21"/>
  <c r="S41" i="21"/>
  <c r="W41" i="21"/>
  <c r="W45" i="21"/>
  <c r="R47" i="21"/>
  <c r="V47" i="21"/>
  <c r="G54" i="21"/>
  <c r="H54" i="21" s="1"/>
  <c r="K144" i="21"/>
  <c r="U9" i="33"/>
  <c r="S10" i="33"/>
  <c r="W10" i="33"/>
  <c r="U11" i="33"/>
  <c r="S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U34"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43" i="67"/>
  <c r="F6" i="73"/>
  <c r="M29" i="67"/>
  <c r="L48" i="67"/>
  <c r="F7" i="67"/>
  <c r="F7" i="73"/>
  <c r="D7" i="73"/>
  <c r="F11" i="12" l="1"/>
  <c r="C23" i="12" s="1"/>
  <c r="S45" i="21"/>
  <c r="W29" i="21"/>
  <c r="U29" i="21"/>
  <c r="U26"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456" i="3" s="1"/>
  <c r="AZ477" i="3"/>
  <c r="AZ445" i="3"/>
  <c r="C33" i="21"/>
  <c r="AB33" i="21" s="1"/>
  <c r="F106" i="21"/>
  <c r="G106" i="21" s="1"/>
  <c r="H106" i="21" s="1"/>
  <c r="I106" i="21" s="1"/>
  <c r="J106" i="21" s="1"/>
  <c r="K106" i="21" s="1"/>
  <c r="L106" i="21" s="1"/>
  <c r="M106" i="21" s="1"/>
  <c r="F34" i="21"/>
  <c r="J34" i="21"/>
  <c r="AC34" i="21" s="1"/>
  <c r="U37" i="21"/>
  <c r="W37" i="21"/>
  <c r="E540" i="3"/>
  <c r="AA37" i="21"/>
  <c r="E39" i="3"/>
  <c r="E123" i="3"/>
  <c r="E147" i="3"/>
  <c r="E274" i="3"/>
  <c r="E358" i="3"/>
  <c r="E398" i="3"/>
  <c r="E324" i="3"/>
  <c r="E383" i="3"/>
  <c r="E427" i="3"/>
  <c r="E567" i="3"/>
  <c r="E504" i="3"/>
  <c r="E524" i="3"/>
  <c r="E87" i="3"/>
  <c r="E131" i="3"/>
  <c r="E151" i="3"/>
  <c r="E194" i="3"/>
  <c r="E214" i="3"/>
  <c r="E234" i="3"/>
  <c r="E278" i="3"/>
  <c r="E298" i="3"/>
  <c r="E322" i="3"/>
  <c r="E366" i="3"/>
  <c r="E414" i="3"/>
  <c r="AD6" i="3"/>
  <c r="E220" i="3"/>
  <c r="E252" i="3"/>
  <c r="E284" i="3"/>
  <c r="E348" i="3"/>
  <c r="E404" i="3"/>
  <c r="E367" i="3"/>
  <c r="E411" i="3"/>
  <c r="E431" i="3"/>
  <c r="E463" i="3"/>
  <c r="E527" i="3"/>
  <c r="E559" i="3"/>
  <c r="E444" i="3"/>
  <c r="E488" i="3"/>
  <c r="E508" i="3"/>
  <c r="E528" i="3"/>
  <c r="E572" i="3"/>
  <c r="E27" i="3"/>
  <c r="E51" i="3"/>
  <c r="E91" i="3"/>
  <c r="E115" i="3"/>
  <c r="E135" i="3"/>
  <c r="E178" i="3"/>
  <c r="E198" i="3"/>
  <c r="E218" i="3"/>
  <c r="E262" i="3"/>
  <c r="E282" i="3"/>
  <c r="E306" i="3"/>
  <c r="E346" i="3"/>
  <c r="E382" i="3"/>
  <c r="E422" i="3"/>
  <c r="E180" i="3"/>
  <c r="E212" i="3"/>
  <c r="E244" i="3"/>
  <c r="E308" i="3"/>
  <c r="E340" i="3"/>
  <c r="E372" i="3"/>
  <c r="E371" i="3"/>
  <c r="E395" i="3"/>
  <c r="E41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E16" i="6" s="1"/>
  <c r="AZ364" i="3"/>
  <c r="AZ311" i="3"/>
  <c r="AZ338" i="3"/>
  <c r="AZ275" i="3"/>
  <c r="AZ303" i="3"/>
  <c r="E17" i="43"/>
  <c r="AB37" i="21"/>
  <c r="J26" i="21"/>
  <c r="AC26" i="21" s="1"/>
  <c r="S27" i="21"/>
  <c r="W42"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56" i="40"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F27" i="6"/>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D4" i="73"/>
  <c r="M23" i="15"/>
  <c r="L47" i="15"/>
  <c r="J15" i="15"/>
  <c r="M8" i="15"/>
  <c r="M22" i="15"/>
  <c r="F5" i="73"/>
  <c r="F7" i="15"/>
  <c r="M24" i="15"/>
  <c r="M27" i="15"/>
  <c r="M6" i="15"/>
  <c r="F40" i="15"/>
  <c r="C16" i="67"/>
  <c r="F37" i="15"/>
  <c r="F3" i="73"/>
  <c r="C76" i="15"/>
  <c r="F38" i="15"/>
  <c r="C14" i="15"/>
  <c r="M26" i="15"/>
  <c r="M28" i="15"/>
  <c r="F36" i="15"/>
  <c r="M21" i="15"/>
  <c r="F9" i="15"/>
  <c r="F41" i="15"/>
  <c r="M9" i="15"/>
  <c r="F26" i="15"/>
  <c r="D6" i="73"/>
  <c r="D5" i="73"/>
  <c r="F6" i="15"/>
  <c r="F35" i="15"/>
  <c r="F16" i="15"/>
  <c r="F4" i="73"/>
  <c r="L48" i="15"/>
  <c r="D3" i="73"/>
  <c r="F43" i="15"/>
  <c r="F8" i="15"/>
  <c r="F13" i="15"/>
  <c r="F42" i="15"/>
  <c r="M29" i="15"/>
  <c r="K1" i="73" l="1"/>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C6" i="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G1" i="73"/>
  <c r="C16" i="15"/>
  <c r="B40" i="1" l="1"/>
  <c r="F22" i="11" s="1"/>
  <c r="C23" i="11" s="1"/>
  <c r="AY6" i="3"/>
  <c r="AY585" i="3" s="1"/>
  <c r="H7" i="35"/>
  <c r="AB7" i="35" s="1"/>
  <c r="T38" i="35" s="1"/>
  <c r="G38" i="35" s="1"/>
  <c r="AY561" i="3"/>
  <c r="AY529" i="3"/>
  <c r="AY513" i="3"/>
  <c r="AY473" i="3"/>
  <c r="AY441" i="3"/>
  <c r="AY433" i="3"/>
  <c r="AY542" i="3"/>
  <c r="AY510" i="3"/>
  <c r="AY502" i="3"/>
  <c r="AY462" i="3"/>
  <c r="AY430" i="3"/>
  <c r="AY414" i="3"/>
  <c r="AY374" i="3"/>
  <c r="AY343" i="3"/>
  <c r="AY335" i="3"/>
  <c r="AY287" i="3"/>
  <c r="AY255" i="3"/>
  <c r="AY247" i="3"/>
  <c r="AY207" i="3"/>
  <c r="AY175" i="3"/>
  <c r="AY423" i="3"/>
  <c r="AY383" i="3"/>
  <c r="AY583" i="3"/>
  <c r="AY575" i="3"/>
  <c r="AY527" i="3"/>
  <c r="AY573" i="3"/>
  <c r="AY565" i="3"/>
  <c r="AY525" i="3"/>
  <c r="AY493" i="3"/>
  <c r="AY477" i="3"/>
  <c r="AY437" i="3"/>
  <c r="AY562" i="3"/>
  <c r="AY554" i="3"/>
  <c r="AY506" i="3"/>
  <c r="AY474" i="3"/>
  <c r="AY466" i="3"/>
  <c r="AY426" i="3"/>
  <c r="AY394" i="3"/>
  <c r="AY378" i="3"/>
  <c r="AY339" i="3"/>
  <c r="AY307" i="3"/>
  <c r="AY299" i="3"/>
  <c r="AY251" i="3"/>
  <c r="AY219" i="3"/>
  <c r="AY211" i="3"/>
  <c r="AY171" i="3"/>
  <c r="AY403" i="3"/>
  <c r="AY387"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C17" i="67"/>
  <c r="C14" i="67"/>
  <c r="AE6" i="1"/>
  <c r="AY179" i="3" l="1"/>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15"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1" i="6" l="1"/>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16" i="6" s="1"/>
  <c r="D6" i="6"/>
  <c r="H26" i="6"/>
  <c r="D24" i="6"/>
  <c r="H21" i="6"/>
  <c r="R21" i="6" s="1"/>
  <c r="D5" i="6"/>
  <c r="D13" i="6"/>
  <c r="C18" i="4"/>
  <c r="H22" i="6"/>
  <c r="E61" i="40"/>
  <c r="D26" i="6"/>
  <c r="R26" i="6" s="1"/>
  <c r="H23" i="6"/>
  <c r="R23" i="6" s="1"/>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R24" i="6" l="1"/>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D19" i="9"/>
  <c r="F35" i="67"/>
  <c r="D20" i="9"/>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AO6" i="1"/>
  <c r="C19" i="9"/>
  <c r="G20" i="9" l="1"/>
  <c r="C103" i="9"/>
  <c r="B6" i="70"/>
  <c r="B2" i="70" s="1"/>
  <c r="B3" i="70" s="1"/>
  <c r="C21" i="9"/>
  <c r="C102" i="9"/>
  <c r="D22" i="9"/>
  <c r="T12" i="71"/>
  <c r="D12" i="71"/>
  <c r="U12" i="71" s="1"/>
  <c r="C11" i="71"/>
  <c r="M65" i="40"/>
  <c r="N63" i="40"/>
  <c r="M69" i="39"/>
  <c r="N67" i="39"/>
  <c r="G19" i="9" l="1"/>
  <c r="I19" i="9"/>
  <c r="E14" i="74"/>
  <c r="D14" i="74" s="1"/>
  <c r="C32" i="9"/>
  <c r="C35" i="9" s="1"/>
  <c r="C34" i="9" s="1"/>
  <c r="D11" i="71"/>
  <c r="C10" i="71"/>
  <c r="N69" i="39"/>
  <c r="O67" i="39"/>
  <c r="O69" i="39" s="1"/>
  <c r="N65" i="40"/>
  <c r="O63" i="40"/>
  <c r="O65" i="40" s="1"/>
  <c r="D30" i="9" l="1"/>
  <c r="I20" i="9"/>
  <c r="D10" i="7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D52" i="9" l="1"/>
  <c r="D53" i="9"/>
  <c r="I4" i="52"/>
  <c r="C105" i="9"/>
  <c r="B20" i="72"/>
  <c r="M54" i="9"/>
  <c r="N58" i="9"/>
  <c r="P57" i="9"/>
  <c r="B30" i="72"/>
  <c r="C5" i="74"/>
  <c r="B47" i="72"/>
  <c r="B49" i="72"/>
  <c r="D8" i="52"/>
  <c r="D6" i="53"/>
  <c r="B22" i="72"/>
  <c r="C104" i="9"/>
  <c r="H4" i="52"/>
  <c r="D4" i="52"/>
  <c r="C78" i="9"/>
  <c r="C73" i="9"/>
  <c r="E4" i="52"/>
  <c r="B48" i="72"/>
  <c r="N60" i="9"/>
  <c r="N57" i="9"/>
  <c r="N59" i="9"/>
  <c r="N61" i="9"/>
  <c r="E81" i="9"/>
  <c r="H102" i="9"/>
  <c r="D7" i="53"/>
  <c r="B21" i="72"/>
  <c r="C93" i="9"/>
  <c r="C86" i="9"/>
  <c r="D122" i="9"/>
  <c r="D123" i="9"/>
  <c r="D9" i="52"/>
  <c r="M48" i="9"/>
  <c r="D5" i="53"/>
  <c r="F119" i="9"/>
  <c r="F5" i="52"/>
  <c r="B53" i="72"/>
  <c r="D13" i="53"/>
  <c r="D14" i="53"/>
  <c r="B32" i="72"/>
  <c r="D55" i="9"/>
  <c r="M53" i="9"/>
  <c r="G4" i="52"/>
  <c r="B52" i="72"/>
  <c r="D59" i="9"/>
  <c r="M55" i="9"/>
  <c r="C6" i="74"/>
  <c r="C96" i="9"/>
  <c r="E96" i="9"/>
  <c r="E97" i="9"/>
  <c r="E80" i="9"/>
  <c r="C80" i="9"/>
  <c r="C72" i="9"/>
  <c r="C79" i="9"/>
  <c r="C81" i="9"/>
  <c r="C64" i="9"/>
  <c r="C63" i="9"/>
  <c r="C67" i="9"/>
  <c r="C68" i="9"/>
  <c r="D54" i="9"/>
  <c r="C97" i="9"/>
  <c r="D58" i="9"/>
  <c r="D56" i="9"/>
  <c r="D45" i="9"/>
  <c r="C85" i="9"/>
  <c r="C95" i="9"/>
  <c r="E118" i="9"/>
  <c r="D118" i="9"/>
  <c r="D119" i="9"/>
  <c r="D5" i="52"/>
  <c r="G118" i="9"/>
  <c r="F118" i="9"/>
  <c r="F4" i="52"/>
  <c r="B51" i="72"/>
  <c r="H101" i="9"/>
  <c r="H107" i="9"/>
  <c r="H108" i="9"/>
  <c r="D15" i="53"/>
  <c r="B31" i="72"/>
  <c r="I118" i="9"/>
  <c r="H118" i="9"/>
  <c r="H119" i="9"/>
  <c r="H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<sst xmlns="http://schemas.openxmlformats.org/spreadsheetml/2006/main" count="7974" uniqueCount="3492">
  <si>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</si>
  <si>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</si>
  <si>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</si>
  <si>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</si>
  <si>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</si>
  <si>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</si>
  <si>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</si>
  <si>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</si>
  <si>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</si>
  <si>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</si>
  <si>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</si>
  <si>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</si>
  <si>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</si>
  <si>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</si>
  <si>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</si>
  <si>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</si>
  <si>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</si>
  <si>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</si>
  <si>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</si>
  <si>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</si>
  <si>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</si>
  <si>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</si>
  <si>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</si>
  <si>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</si>
  <si>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</si>
  <si>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</si>
  <si>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</si>
  <si>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</si>
  <si>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</si>
  <si>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</si>
  <si>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</si>
  <si>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</si>
  <si>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</si>
  <si>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</si>
  <si>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</si>
  <si>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</si>
  <si>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</si>
  <si>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</si>
  <si>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</si>
  <si>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</si>
  <si>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</si>
  <si>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</si>
  <si>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</si>
  <si>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</si>
  <si>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</si>
  <si>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</si>
  <si>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</si>
  <si>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</si>
  <si>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</si>
  <si>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</si>
  <si>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</si>
  <si>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</si>
  <si>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</si>
  <si>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</si>
  <si>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</si>
  <si>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</si>
  <si>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</si>
  <si>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</si>
  <si>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</si>
  <si>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</si>
  <si>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</si>
  <si>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</si>
  <si>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</si>
  <si>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</si>
  <si>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</si>
  <si>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</si>
  <si>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</si>
  <si>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</si>
  <si>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</si>
  <si>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</si>
  <si>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</si>
  <si>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</si>
  <si>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</si>
  <si>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</si>
  <si>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</si>
  <si>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</si>
  <si>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</si>
  <si>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</si>
  <si>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</si>
  <si>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</si>
  <si>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</si>
  <si>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</si>
  <si>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</si>
  <si>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</si>
  <si>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</si>
  <si>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</si>
  <si>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</si>
  <si>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</si>
  <si>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</si>
  <si>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</si>
  <si>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</si>
  <si>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</si>
  <si>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</si>
  <si>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</si>
  <si>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</si>
  <si>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</si>
  <si>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</si>
  <si>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</si>
  <si>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</si>
  <si>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</si>
  <si>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</si>
  <si>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</si>
  <si>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</si>
  <si>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</si>
  <si>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</si>
  <si>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</si>
  <si>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</si>
  <si>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</si>
  <si>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</si>
  <si>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</si>
  <si>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</si>
  <si>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</si>
  <si>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</si>
  <si>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</si>
  <si>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</si>
  <si>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</si>
  <si>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</si>
  <si>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</si>
  <si>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</si>
  <si>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</si>
  <si>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</si>
  <si>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</si>
  <si>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</si>
  <si>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</si>
  <si>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</si>
  <si>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</si>
  <si>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</si>
  <si>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</si>
  <si>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</si>
  <si>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</si>
  <si>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</si>
  <si>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</si>
  <si>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</si>
  <si>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</si>
  <si>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</si>
  <si>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</si>
  <si>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</si>
  <si>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</si>
  <si>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</si>
  <si>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</si>
  <si>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</si>
  <si>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</si>
  <si>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</si>
  <si>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</si>
  <si>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</si>
  <si>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</si>
  <si>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</si>
  <si>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</si>
  <si>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</si>
  <si>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</si>
  <si>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</si>
  <si>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</si>
  <si>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</si>
  <si>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</si>
  <si>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</si>
  <si>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</si>
  <si>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</si>
  <si>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</si>
  <si>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</si>
  <si>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</si>
  <si>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</si>
  <si>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</si>
  <si>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</si>
  <si>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</si>
  <si>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</si>
  <si>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</si>
  <si>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</si>
  <si>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</si>
  <si>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</si>
  <si>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</si>
  <si>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</si>
  <si>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</si>
  <si>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</si>
  <si>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</si>
  <si>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</si>
  <si>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</si>
  <si>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</si>
  <si>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</si>
  <si>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</si>
  <si>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</si>
  <si>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</si>
  <si>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</si>
  <si>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</si>
  <si>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</si>
  <si>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</si>
  <si>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</si>
  <si>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</si>
  <si>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</si>
  <si>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</si>
  <si>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</si>
  <si>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</si>
  <si>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</si>
  <si>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</si>
  <si>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</si>
  <si>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</si>
  <si>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</si>
  <si>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</si>
  <si>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</si>
  <si>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</si>
  <si>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</si>
  <si>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</si>
  <si>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</si>
  <si>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</si>
  <si>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</si>
  <si>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</si>
  <si>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</si>
  <si>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</si>
  <si>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</si>
  <si>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</si>
  <si>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</si>
  <si>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</si>
  <si>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</si>
  <si>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</si>
  <si>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</si>
  <si>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</si>
  <si>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</si>
  <si>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</si>
  <si>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</si>
  <si>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</si>
  <si>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</si>
  <si>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</si>
  <si>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</si>
  <si>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</si>
  <si>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</si>
  <si>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</si>
  <si>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</si>
  <si>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</si>
  <si>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</si>
  <si>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</si>
  <si>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</si>
  <si>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</si>
  <si>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</si>
  <si>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</si>
  <si>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</si>
  <si>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</si>
  <si>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</si>
  <si>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</si>
  <si>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</si>
  <si>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</si>
  <si>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</si>
  <si>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</si>
  <si>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</si>
  <si>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</si>
  <si>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</si>
  <si>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</si>
  <si>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</si>
  <si>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</si>
  <si>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</si>
  <si>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</si>
  <si>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</si>
  <si>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</si>
  <si>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</si>
  <si>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</si>
  <si>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</si>
  <si>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</si>
  <si>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</si>
  <si>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</si>
  <si>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</si>
  <si>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</si>
  <si>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</si>
  <si>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</si>
  <si>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</si>
  <si>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</si>
  <si>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</si>
  <si>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</si>
  <si>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</si>
  <si>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</si>
  <si>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</si>
  <si>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</si>
  <si>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</si>
  <si>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</si>
  <si>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</si>
  <si>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</si>
  <si>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</si>
  <si>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</si>
  <si>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</si>
  <si>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</si>
  <si>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</si>
  <si>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</si>
  <si>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</si>
  <si>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</si>
  <si>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</si>
  <si>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</si>
  <si>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</si>
  <si>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</si>
  <si>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</si>
  <si>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</si>
  <si>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</si>
  <si>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</si>
  <si>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</si>
  <si>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</si>
  <si>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</si>
  <si>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</si>
  <si>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</si>
  <si>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</si>
  <si>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</si>
  <si>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</si>
  <si>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</si>
  <si>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</si>
  <si>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</si>
  <si>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</si>
  <si>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</si>
  <si>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</si>
  <si>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</si>
  <si>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</si>
  <si>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</si>
  <si>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</si>
  <si>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</si>
  <si>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</si>
  <si>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</si>
  <si>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</si>
  <si>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</si>
  <si>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</si>
  <si>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</si>
  <si>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</si>
  <si>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</si>
  <si>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</si>
  <si>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</si>
  <si>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</si>
  <si>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</si>
  <si>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</si>
  <si>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</si>
  <si>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</si>
  <si>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</si>
  <si>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</si>
  <si>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</si>
  <si>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</si>
  <si>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</si>
  <si>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</si>
  <si>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</si>
  <si>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</si>
  <si>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</si>
  <si>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</si>
  <si>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</si>
  <si>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</si>
  <si>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</si>
  <si>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</si>
  <si>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</si>
  <si>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</si>
  <si>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</si>
  <si>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</si>
  <si>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</si>
  <si>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</si>
  <si>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</si>
  <si>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</si>
  <si>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</si>
  <si>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</si>
  <si>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</si>
  <si>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</si>
  <si>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</si>
  <si>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</si>
  <si>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</si>
  <si>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</si>
  <si>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</si>
  <si>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</si>
  <si>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</si>
  <si>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</si>
  <si>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</si>
  <si>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</si>
  <si>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</si>
  <si>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</si>
  <si>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</si>
  <si>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</si>
  <si>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</si>
  <si>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</si>
  <si>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</si>
  <si>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</si>
  <si>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</si>
  <si>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</si>
  <si>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</si>
  <si>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</si>
  <si>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</si>
  <si>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</si>
  <si>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</si>
  <si>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</si>
  <si>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</si>
  <si>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</si>
  <si>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</si>
  <si>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</si>
  <si>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</si>
  <si>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</si>
  <si>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</si>
  <si>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</si>
  <si>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</si>
  <si>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</si>
  <si>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</si>
  <si>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</si>
  <si>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</si>
  <si>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</si>
  <si>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</si>
  <si>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</si>
  <si>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</si>
  <si>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</si>
  <si>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</si>
  <si>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</si>
  <si>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</si>
  <si>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</si>
  <si>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</si>
  <si>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</si>
  <si>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</si>
  <si>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</si>
  <si>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</si>
  <si>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</si>
  <si>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</si>
  <si>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</si>
  <si>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</si>
  <si>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</si>
  <si>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</si>
  <si>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</si>
  <si>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</si>
  <si>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</si>
  <si>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</si>
  <si>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</si>
  <si>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</si>
  <si>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</si>
  <si>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</si>
  <si>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</si>
  <si>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</si>
  <si>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</si>
  <si>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</si>
  <si>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</si>
  <si>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</si>
  <si>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</si>
  <si>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</si>
  <si>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</si>
  <si>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</si>
  <si>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</si>
  <si>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</si>
  <si>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</si>
  <si>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</si>
  <si>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</si>
  <si>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</si>
  <si>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</si>
  <si>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</si>
  <si>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</si>
  <si>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</si>
  <si>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</si>
  <si>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</si>
  <si>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</si>
  <si>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</si>
  <si>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</si>
  <si>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</si>
  <si>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</si>
  <si>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</si>
  <si>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</si>
  <si>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</si>
  <si>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</si>
  <si>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</si>
  <si>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</si>
  <si>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</si>
  <si>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</si>
  <si>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</si>
  <si>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</si>
  <si>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</si>
  <si>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</si>
  <si>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</si>
  <si>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</si>
  <si>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</si>
  <si>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</si>
  <si>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</si>
  <si>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</si>
  <si>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</si>
  <si>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</si>
  <si>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</si>
  <si>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</si>
  <si>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</si>
  <si>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</si>
  <si>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</si>
  <si>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</si>
  <si>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</si>
  <si>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</si>
  <si>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</si>
  <si>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</si>
  <si>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</si>
  <si>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</si>
  <si>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</si>
  <si>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</si>
  <si>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</si>
  <si>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</si>
  <si>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</si>
  <si>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</si>
  <si>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</si>
  <si>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</si>
  <si>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</si>
  <si>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</si>
  <si>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</si>
  <si>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</si>
  <si>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</si>
  <si>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</si>
  <si>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</si>
  <si>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</si>
  <si>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</si>
  <si>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</si>
  <si>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</si>
  <si>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</si>
  <si>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</si>
  <si>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</si>
  <si>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</si>
  <si>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</si>
  <si>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</si>
  <si>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</si>
  <si>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</si>
  <si>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</si>
  <si>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</si>
  <si>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</si>
  <si>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</si>
  <si>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</si>
  <si>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</si>
  <si>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</si>
  <si>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</si>
  <si>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</si>
  <si>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</si>
  <si>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</si>
  <si>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</si>
  <si>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</si>
  <si>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</si>
  <si>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</si>
  <si>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</si>
  <si>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</si>
  <si>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</si>
  <si>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</si>
  <si>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</si>
  <si>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</si>
  <si>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</si>
  <si>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</si>
  <si>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</si>
  <si>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</si>
  <si>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</si>
  <si>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</si>
  <si>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</si>
  <si>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</si>
  <si>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</si>
  <si>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</si>
  <si>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</si>
  <si>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</si>
  <si>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</si>
  <si>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</si>
  <si>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</si>
  <si>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</si>
  <si>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</si>
  <si>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</si>
  <si>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</si>
  <si>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</si>
  <si>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</si>
  <si>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</si>
  <si>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</si>
  <si>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</si>
  <si>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</si>
  <si>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</si>
  <si>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</si>
  <si>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</si>
  <si>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</si>
  <si>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</si>
  <si>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</si>
  <si>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</si>
  <si>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</si>
  <si>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</si>
  <si>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</si>
  <si>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</si>
  <si>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</si>
  <si>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</si>
  <si>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</si>
  <si>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</si>
  <si>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</si>
  <si>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</si>
  <si>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</si>
  <si>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</si>
  <si>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</si>
  <si>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</si>
  <si>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</si>
  <si>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</si>
  <si>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</si>
  <si>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</si>
  <si>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</si>
  <si>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</si>
  <si>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</si>
  <si>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</si>
  <si>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</si>
  <si>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</si>
  <si>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</si>
  <si>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</si>
  <si>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</si>
  <si>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</si>
  <si>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</si>
  <si>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</si>
  <si>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</si>
  <si>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</si>
  <si>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</si>
  <si>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</si>
  <si>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</si>
  <si>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</si>
  <si>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</si>
  <si>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</si>
  <si>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</si>
  <si>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</si>
  <si>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</si>
  <si>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</si>
  <si>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</si>
  <si>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</si>
  <si>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</si>
  <si>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</si>
  <si>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</si>
  <si>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</si>
  <si>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</si>
  <si>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</si>
  <si>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</si>
  <si>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</si>
  <si>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</si>
  <si>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</si>
  <si>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</si>
  <si>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</si>
  <si>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</si>
  <si>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</si>
  <si>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</si>
  <si>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</si>
  <si>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</si>
  <si>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</si>
  <si>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</si>
  <si>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</si>
  <si>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</si>
  <si>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</si>
  <si>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</si>
  <si>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</si>
  <si>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</si>
  <si>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</si>
  <si>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</si>
  <si>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</si>
  <si>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</si>
  <si>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</si>
  <si>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</si>
  <si>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</si>
  <si>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</si>
  <si>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</si>
  <si>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</si>
  <si>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</si>
  <si>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</si>
  <si>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</si>
  <si>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</si>
  <si>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</si>
  <si>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</si>
  <si>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</si>
  <si>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</si>
  <si>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</si>
  <si>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</si>
  <si>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</si>
  <si>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</si>
  <si>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</si>
  <si>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</si>
  <si>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</si>
  <si>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</si>
  <si>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</si>
  <si>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</si>
  <si>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</si>
  <si>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</si>
  <si>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</si>
  <si>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</si>
  <si>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</si>
  <si>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</si>
  <si>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</si>
  <si>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</si>
  <si>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</si>
  <si>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</si>
  <si>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</si>
  <si>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</si>
  <si>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</si>
  <si>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</si>
  <si>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</si>
  <si>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</si>
  <si>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</si>
  <si>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</si>
  <si>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</si>
  <si>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</si>
  <si>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</si>
  <si>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</si>
  <si>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</si>
  <si>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</si>
  <si>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</si>
  <si>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</si>
  <si>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</si>
  <si>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</si>
  <si>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</si>
  <si>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</si>
  <si>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</si>
  <si>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</si>
  <si>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</si>
  <si>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</si>
  <si>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</si>
  <si>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</si>
  <si>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</si>
  <si>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</si>
  <si>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</si>
  <si>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</si>
  <si>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</si>
  <si>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</si>
  <si>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</si>
  <si>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</si>
  <si>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</si>
  <si>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</si>
  <si>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</si>
  <si>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</si>
  <si>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</si>
  <si>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</si>
  <si>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</si>
  <si>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</si>
  <si>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</si>
  <si>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</si>
  <si>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</si>
  <si>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</si>
  <si>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</si>
  <si>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</si>
  <si>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</si>
  <si>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</si>
  <si>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</si>
  <si>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</si>
  <si>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</si>
  <si>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</si>
  <si>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</si>
  <si>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</si>
  <si>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</si>
  <si>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</si>
  <si>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</si>
  <si>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</si>
  <si>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</si>
  <si>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</si>
  <si>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</si>
  <si>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</si>
  <si>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</si>
  <si>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</si>
  <si>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</si>
  <si>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</si>
  <si>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</si>
  <si>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</si>
  <si>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</si>
  <si>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</si>
  <si>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</si>
  <si>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</si>
  <si>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</si>
  <si>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</si>
  <si>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</si>
  <si>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</si>
  <si>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</si>
  <si>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</si>
  <si>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</si>
  <si>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</si>
  <si>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</si>
  <si>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</si>
  <si>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</si>
  <si>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</si>
  <si>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</si>
  <si>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</si>
  <si>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</si>
  <si>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</si>
  <si>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</si>
  <si>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</si>
  <si>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</si>
  <si>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</si>
  <si>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</si>
  <si>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</si>
  <si>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</si>
  <si>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</si>
  <si>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</si>
  <si>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</si>
  <si>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</si>
  <si>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</si>
  <si>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</si>
  <si>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</si>
  <si>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</si>
  <si>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</si>
  <si>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</si>
  <si>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</si>
  <si>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</si>
  <si>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</si>
  <si>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</si>
  <si>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</si>
  <si>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</si>
  <si>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</si>
  <si>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</si>
  <si>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</si>
  <si>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</si>
  <si>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</si>
  <si>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</si>
  <si>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</si>
  <si>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</si>
  <si>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</si>
  <si>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</si>
  <si>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</si>
  <si>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</si>
  <si>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</si>
  <si>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</si>
  <si>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</si>
  <si>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</si>
  <si>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</si>
  <si>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</si>
  <si>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</si>
  <si>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</si>
  <si>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</si>
  <si>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</si>
  <si>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</si>
  <si>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</si>
  <si>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</si>
  <si>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</si>
  <si>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</si>
  <si>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</si>
  <si>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</si>
  <si>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</si>
  <si>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</si>
  <si>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</si>
  <si>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</si>
  <si>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</si>
  <si>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</si>
  <si>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</si>
  <si>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</si>
  <si>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</si>
  <si>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</si>
  <si>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</si>
  <si>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</si>
  <si>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</si>
  <si>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</si>
  <si>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</si>
  <si>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</si>
  <si>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</si>
  <si>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</si>
  <si>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</si>
  <si>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</si>
  <si>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</si>
  <si>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</si>
  <si>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</si>
  <si>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</si>
  <si>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</si>
  <si>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</si>
  <si>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</si>
  <si>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</si>
  <si>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</si>
  <si>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</si>
  <si>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</si>
  <si>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</si>
  <si>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</si>
  <si>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</si>
  <si>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</si>
  <si>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</si>
  <si>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</si>
  <si>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</si>
  <si>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</si>
  <si>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</si>
  <si>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</si>
  <si>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</si>
  <si>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</si>
  <si>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</si>
  <si>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</si>
  <si>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</si>
  <si>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</si>
  <si>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</si>
  <si>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</si>
  <si>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</si>
  <si>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</si>
  <si>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</si>
  <si>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</si>
  <si>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</si>
  <si>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</si>
  <si>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</si>
  <si>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</si>
  <si>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</si>
  <si>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</si>
  <si>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</si>
  <si>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</si>
  <si>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</si>
  <si>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</si>
  <si>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</si>
  <si>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</si>
  <si>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</si>
  <si>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</si>
  <si>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</si>
  <si>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</si>
  <si>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</si>
  <si>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</si>
  <si>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</si>
  <si>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</si>
  <si>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</si>
  <si>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</si>
  <si>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</si>
  <si>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</si>
  <si>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</si>
  <si>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</si>
  <si>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</si>
  <si>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</si>
  <si>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</si>
  <si>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</si>
  <si>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</si>
  <si>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</si>
  <si>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</si>
  <si>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</si>
  <si>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</si>
  <si>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</si>
  <si>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</si>
  <si>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</si>
  <si>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</si>
  <si>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</si>
  <si>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</si>
  <si>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</si>
  <si>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</si>
  <si>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</si>
  <si>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</si>
  <si>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</si>
  <si>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</si>
  <si>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</si>
  <si>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</si>
  <si>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</si>
  <si>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</si>
  <si>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</si>
  <si>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</si>
  <si>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</si>
  <si>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</si>
  <si>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</si>
  <si>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</si>
  <si>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</si>
  <si>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</si>
  <si>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</si>
  <si>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</si>
  <si>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</si>
  <si>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</si>
  <si>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</si>
  <si>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</si>
  <si>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</si>
  <si>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</si>
  <si>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</si>
  <si>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</si>
  <si>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</si>
  <si>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</si>
  <si>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</si>
  <si>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</si>
  <si>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</si>
  <si>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</si>
  <si>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</si>
  <si>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</si>
  <si>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</si>
  <si>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</si>
  <si>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</si>
  <si>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</si>
  <si>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</si>
  <si>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</si>
  <si>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</si>
  <si>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</si>
  <si>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</si>
  <si>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</si>
  <si>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</si>
  <si>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</si>
  <si>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</si>
  <si>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</si>
  <si>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</si>
  <si>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</si>
  <si>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</si>
  <si>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</si>
  <si>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</si>
  <si>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</si>
  <si>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</si>
  <si>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</si>
  <si>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</si>
  <si>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</si>
  <si>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</si>
  <si>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</si>
  <si>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</si>
  <si>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</si>
  <si>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</si>
  <si>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</si>
  <si>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</si>
  <si>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</si>
  <si>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</si>
  <si>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</si>
  <si>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</si>
  <si>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</si>
  <si>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</si>
  <si>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</si>
  <si>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</si>
  <si>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</si>
  <si>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</si>
  <si>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</si>
  <si>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</si>
  <si>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</si>
  <si>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</si>
  <si>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</si>
  <si>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</si>
  <si>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</si>
  <si>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</si>
  <si>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</si>
  <si>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</si>
  <si>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</si>
  <si>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</si>
  <si>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</si>
  <si>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</si>
  <si>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</si>
  <si>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</si>
  <si>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</si>
  <si>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</si>
  <si>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</si>
  <si>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</si>
  <si>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</si>
  <si>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</si>
  <si>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</si>
  <si>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</si>
  <si>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</si>
  <si>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</si>
  <si>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</si>
  <si>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</si>
  <si>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</si>
  <si>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</si>
  <si>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</si>
  <si>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</si>
  <si>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</si>
  <si>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</si>
  <si>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</si>
  <si>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</si>
  <si>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</si>
  <si>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</si>
  <si>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</si>
  <si>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</si>
  <si>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</si>
  <si>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</si>
  <si>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</si>
  <si>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</si>
  <si>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</si>
  <si>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</si>
  <si>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</si>
  <si>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</si>
  <si>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</si>
  <si>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</si>
  <si>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</si>
  <si>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</si>
  <si>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</si>
  <si>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</si>
  <si>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</si>
  <si>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</si>
  <si>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</si>
  <si>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</si>
  <si>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</si>
  <si>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</si>
  <si>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</si>
  <si>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</si>
  <si>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</si>
  <si>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</si>
  <si>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</si>
  <si>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</si>
  <si>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</si>
  <si>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</si>
  <si>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</si>
  <si>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</si>
  <si>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</si>
  <si>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</si>
  <si>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</si>
  <si>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</si>
  <si>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</si>
  <si>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</si>
  <si>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</si>
  <si>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</si>
  <si>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</si>
  <si>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</si>
  <si>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</si>
  <si>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</si>
  <si>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</si>
  <si>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</si>
  <si>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</si>
  <si>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</si>
  <si>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</si>
  <si>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</si>
  <si>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</si>
  <si>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</si>
  <si>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</si>
  <si>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</si>
  <si>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</si>
  <si>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</si>
  <si>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</si>
  <si>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</si>
  <si>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</si>
  <si>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</si>
  <si>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</si>
  <si>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</si>
  <si>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</si>
  <si>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</si>
  <si>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</si>
  <si>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</si>
  <si>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</si>
  <si>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</si>
  <si>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</si>
  <si>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</si>
  <si>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</si>
  <si>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</si>
  <si>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</si>
  <si>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</si>
  <si>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</si>
  <si>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</si>
  <si>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</si>
  <si>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</si>
  <si>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</si>
  <si>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</si>
  <si>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</si>
  <si>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</si>
  <si>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</si>
  <si>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</si>
  <si>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</si>
  <si>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</si>
  <si>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</si>
  <si>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</si>
  <si>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</si>
  <si>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</si>
  <si>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</si>
  <si>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</si>
  <si>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</si>
  <si>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</si>
  <si>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</si>
  <si>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</si>
  <si>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</si>
  <si>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</si>
  <si>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</si>
  <si>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</si>
  <si>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</si>
  <si>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</si>
  <si>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</si>
  <si>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</si>
  <si>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</si>
  <si>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</si>
  <si>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</si>
  <si>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</si>
  <si>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</si>
  <si>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</si>
  <si>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</si>
  <si>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</si>
  <si>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</si>
  <si>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</si>
  <si>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</si>
  <si>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</si>
  <si>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</si>
  <si>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</si>
  <si>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</si>
  <si>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</si>
  <si>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</si>
  <si>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</si>
  <si>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</si>
  <si>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</si>
  <si>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</si>
  <si>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</si>
  <si>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</si>
  <si>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</si>
  <si>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</si>
  <si>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</si>
  <si>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</si>
  <si>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</si>
  <si>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</si>
  <si>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</si>
  <si>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</si>
  <si>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</si>
  <si>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</si>
  <si>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</si>
  <si>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</si>
  <si>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</si>
  <si>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</si>
  <si>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</si>
  <si>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</si>
  <si>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</si>
  <si>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</si>
  <si>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</si>
  <si>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</si>
  <si>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</si>
  <si>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</si>
  <si>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</si>
  <si>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</si>
  <si>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</si>
  <si>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</si>
  <si>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</si>
  <si>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</si>
  <si>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</si>
  <si>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</si>
  <si>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</si>
  <si>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</si>
  <si>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</si>
  <si>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</si>
  <si>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</si>
  <si>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</si>
  <si>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</si>
  <si>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</si>
  <si>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</si>
  <si>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</si>
  <si>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</si>
  <si>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</si>
  <si>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</si>
  <si>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</si>
  <si>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</si>
  <si>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</si>
  <si>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</si>
  <si>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</si>
  <si>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</si>
  <si>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</si>
  <si>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</si>
  <si>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</si>
  <si>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</si>
  <si>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</si>
  <si>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</si>
  <si>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</si>
  <si>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</si>
  <si>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</si>
  <si>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</si>
  <si>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</si>
  <si>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</si>
  <si>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</si>
  <si>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</si>
  <si>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</si>
  <si>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</si>
  <si>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</si>
  <si>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</si>
  <si>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</si>
  <si>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</si>
  <si>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</si>
  <si>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</si>
  <si>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</si>
  <si>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</si>
  <si>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</si>
  <si>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</si>
  <si>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</si>
  <si>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</si>
  <si>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</si>
  <si>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</si>
  <si>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</si>
  <si>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</si>
  <si>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</si>
  <si>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</si>
  <si>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</si>
  <si>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</si>
  <si>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</si>
  <si>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</si>
  <si>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</si>
  <si>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</si>
  <si>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</si>
  <si>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</si>
  <si>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</si>
  <si>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</si>
  <si>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</si>
  <si>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</si>
  <si>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</si>
  <si>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</si>
  <si>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</si>
  <si>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</si>
  <si>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</si>
  <si>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</si>
  <si>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</si>
  <si>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</si>
  <si>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</si>
  <si>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</si>
  <si>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</si>
  <si>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</si>
  <si>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</si>
  <si>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</si>
  <si>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</si>
  <si>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</si>
  <si>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</si>
  <si>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</si>
  <si>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</si>
  <si>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</si>
  <si>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</si>
  <si>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</si>
  <si>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</si>
  <si>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</si>
  <si>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</si>
  <si>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</si>
  <si>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</si>
  <si>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</si>
  <si>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</si>
  <si>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</si>
  <si>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</si>
  <si>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</si>
  <si>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</si>
  <si>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</si>
  <si>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</si>
  <si>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</si>
  <si>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</si>
  <si>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</si>
  <si>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</si>
  <si>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</si>
  <si>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</si>
  <si>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</si>
  <si>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</si>
  <si>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</si>
  <si>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</si>
  <si>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</si>
  <si>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</si>
  <si>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</si>
  <si>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</si>
  <si>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</si>
  <si>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</si>
  <si>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</si>
  <si>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</si>
  <si>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</si>
  <si>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</si>
  <si>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</si>
  <si>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</si>
  <si>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</si>
  <si>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</si>
  <si>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</si>
  <si>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</si>
  <si>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</si>
  <si>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</si>
  <si>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</si>
  <si>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</si>
  <si>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</si>
  <si>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</si>
  <si>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</si>
  <si>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</si>
  <si>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</si>
  <si>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</si>
  <si>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</si>
  <si>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</si>
  <si>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</si>
  <si>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</si>
  <si>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</si>
  <si>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</si>
  <si>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</si>
  <si>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</si>
  <si>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</si>
  <si>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</si>
  <si>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</si>
  <si>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</si>
  <si>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</si>
  <si>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</si>
  <si>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</si>
  <si>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</si>
  <si>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</si>
  <si>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</si>
  <si>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</si>
  <si>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</si>
  <si>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</si>
  <si>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</si>
  <si>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</si>
  <si>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</si>
  <si>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</si>
  <si>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</si>
  <si>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</si>
  <si>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</si>
  <si>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</si>
  <si>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</si>
  <si>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</si>
  <si>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</si>
  <si>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</si>
  <si>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</si>
  <si>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</si>
  <si>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</si>
  <si>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</si>
  <si>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</si>
  <si>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</si>
  <si>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</si>
  <si>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</si>
  <si>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</si>
  <si>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</si>
  <si>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</si>
  <si>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</si>
  <si>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</si>
  <si>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</si>
  <si>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</si>
  <si>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</si>
  <si>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</si>
  <si>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</si>
  <si>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</si>
  <si>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</si>
  <si>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</si>
  <si>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</si>
  <si>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</si>
  <si>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</si>
  <si>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</si>
  <si>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</si>
  <si>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</si>
  <si>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</si>
  <si>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</si>
  <si>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</si>
  <si>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</si>
  <si>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</si>
  <si>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</si>
  <si>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</si>
  <si>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</si>
  <si>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</si>
  <si>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</si>
  <si>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</si>
  <si>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</si>
  <si>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</si>
  <si>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</si>
  <si>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</si>
  <si>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</si>
  <si>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</si>
  <si>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</si>
  <si>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</si>
  <si>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</si>
  <si>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</si>
  <si>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</si>
  <si>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</si>
  <si>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</si>
  <si>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</si>
  <si>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</si>
  <si>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</si>
  <si>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</si>
  <si>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</si>
  <si>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</si>
  <si>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</si>
  <si>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</si>
  <si>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</si>
  <si>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</si>
  <si>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</si>
  <si>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</si>
  <si>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</si>
  <si>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</si>
  <si>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</si>
  <si>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</si>
  <si>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</si>
  <si>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</si>
  <si>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</si>
  <si>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</si>
  <si>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</si>
  <si>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</si>
  <si>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</si>
  <si>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</si>
  <si>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</si>
  <si>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</si>
  <si>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</si>
  <si>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</si>
  <si>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</si>
  <si>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</si>
  <si>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</si>
  <si>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</si>
  <si>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</si>
  <si>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</si>
  <si>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</si>
  <si>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</si>
  <si>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</si>
  <si>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</si>
  <si>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</si>
  <si>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</si>
  <si>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</si>
  <si>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</si>
  <si>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</si>
  <si>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</si>
  <si>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</si>
  <si>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</si>
  <si>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</si>
  <si>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</si>
  <si>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</si>
  <si>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</si>
  <si>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</si>
  <si>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</si>
  <si>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</si>
  <si>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</si>
  <si>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</si>
  <si>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</si>
  <si>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</si>
  <si>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</si>
  <si>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</si>
  <si>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</si>
  <si>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</si>
  <si>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</si>
  <si>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</si>
  <si>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</si>
  <si>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</si>
  <si>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</si>
  <si>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</si>
  <si>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</si>
  <si>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</si>
  <si>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</si>
  <si>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</si>
  <si>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</si>
  <si>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</si>
  <si>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</si>
  <si>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</si>
  <si>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</si>
  <si>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</si>
  <si>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</si>
  <si>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</si>
  <si>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</si>
  <si>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</si>
  <si>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</si>
  <si>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</si>
  <si>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</si>
  <si>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</si>
  <si>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</si>
  <si>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</si>
  <si>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</si>
  <si>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</si>
  <si>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</si>
  <si>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</si>
  <si>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</si>
  <si>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</si>
  <si>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</si>
  <si>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</si>
  <si>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</si>
  <si>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</si>
  <si>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</si>
  <si>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</si>
  <si>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</si>
  <si>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</si>
  <si>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</si>
  <si>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</si>
  <si>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</si>
  <si>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</si>
  <si>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</si>
  <si>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</si>
  <si>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</si>
  <si>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</si>
  <si>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</si>
  <si>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</si>
  <si>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</si>
  <si>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</si>
  <si>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</si>
  <si>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</si>
  <si>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</si>
  <si>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</si>
  <si>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</si>
  <si>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</si>
  <si>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</si>
  <si>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</si>
  <si>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</si>
  <si>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</si>
  <si>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</si>
  <si>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</si>
  <si>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</si>
  <si>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</si>
  <si>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</si>
  <si>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</si>
  <si>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</si>
  <si>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</si>
  <si>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</si>
  <si>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</si>
  <si>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</si>
  <si>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</si>
  <si>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</si>
  <si>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</si>
  <si>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</si>
  <si>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</si>
  <si>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</si>
  <si>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</si>
  <si>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</si>
  <si>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</si>
  <si>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</si>
  <si>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</si>
  <si>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</si>
  <si>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</si>
  <si>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</si>
  <si>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</si>
  <si>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</si>
  <si>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</si>
  <si>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</si>
  <si>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</si>
  <si>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</si>
  <si>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</si>
  <si>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</si>
  <si>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</si>
  <si>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</si>
  <si>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</si>
  <si>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</si>
  <si>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</si>
  <si>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</si>
  <si>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</si>
  <si>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</si>
  <si>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</si>
  <si>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</si>
  <si>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</si>
  <si>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</si>
  <si>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</si>
  <si>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</si>
  <si>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</si>
  <si>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</si>
  <si>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</si>
  <si>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</si>
  <si>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</si>
  <si>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</si>
  <si>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</si>
  <si>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</si>
  <si>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</si>
  <si>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</si>
  <si>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</si>
  <si>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</si>
  <si>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</si>
  <si>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</si>
  <si>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</si>
  <si>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</si>
  <si>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</si>
  <si>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</si>
  <si>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</si>
  <si>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</si>
  <si>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</si>
  <si>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</si>
  <si>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</si>
  <si>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</si>
  <si>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</si>
  <si>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</si>
  <si>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</si>
  <si>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</si>
  <si>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</si>
  <si>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</si>
  <si>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</si>
  <si>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</si>
  <si>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</si>
  <si>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</si>
  <si>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</si>
  <si>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</si>
  <si>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</si>
  <si>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</si>
  <si>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</si>
  <si>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</si>
  <si>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</si>
  <si>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</si>
  <si>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</si>
  <si>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</si>
  <si>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</si>
  <si>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</si>
  <si>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</si>
  <si>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</si>
  <si>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</si>
  <si>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</si>
  <si>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</si>
  <si>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</si>
  <si>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</si>
  <si>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</si>
  <si>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</si>
  <si>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</si>
  <si>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</si>
  <si>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</si>
  <si>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</si>
  <si>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</si>
  <si>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</si>
  <si>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</si>
  <si>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</si>
  <si>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</si>
  <si>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</si>
  <si>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</si>
  <si>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</si>
  <si>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</si>
  <si>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</si>
  <si>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</si>
  <si>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</si>
  <si>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</si>
  <si>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</si>
  <si>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</si>
  <si>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</si>
  <si>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</si>
  <si>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</si>
  <si>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</si>
  <si>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</si>
  <si>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</si>
  <si>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</si>
  <si>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</si>
  <si>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</si>
  <si>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</si>
  <si>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</si>
  <si>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</si>
  <si>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</si>
  <si>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</si>
  <si>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</si>
  <si>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</si>
  <si>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</si>
  <si>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</si>
  <si>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</si>
  <si>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</si>
  <si>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</si>
  <si>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</si>
  <si>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</si>
  <si>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</si>
  <si>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</si>
  <si>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</si>
  <si>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</si>
  <si>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</si>
  <si>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</si>
  <si>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</si>
  <si>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</si>
  <si>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</si>
  <si>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</si>
  <si>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</si>
  <si>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</si>
  <si>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</si>
  <si>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</si>
  <si>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</si>
  <si>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</si>
  <si>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</si>
  <si>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</si>
  <si>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</si>
  <si>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</si>
  <si>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</si>
  <si>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</si>
  <si>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</si>
  <si>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</si>
  <si>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</si>
  <si>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</si>
  <si>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</si>
  <si>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</si>
  <si>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</si>
  <si>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</si>
  <si>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</si>
  <si>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</si>
  <si>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</si>
  <si>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</si>
  <si>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</si>
  <si>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</si>
  <si>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</si>
  <si>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</si>
  <si>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</si>
  <si>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</si>
  <si>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</si>
  <si>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</si>
  <si>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</si>
  <si>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</si>
  <si>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</si>
  <si>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</si>
  <si>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</si>
  <si>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</si>
  <si>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</si>
  <si>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</si>
  <si>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</si>
  <si>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</si>
  <si>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</si>
  <si>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</si>
  <si>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</si>
  <si>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</si>
  <si>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</si>
  <si>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</si>
  <si>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</si>
  <si>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</si>
  <si>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</si>
  <si>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</si>
  <si>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</si>
  <si>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</si>
  <si>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</si>
  <si>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</si>
  <si>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</si>
  <si>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</si>
  <si>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</si>
  <si>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</si>
  <si>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</si>
  <si>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</si>
  <si>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</si>
  <si>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</si>
  <si>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</si>
  <si>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</si>
  <si>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</si>
  <si>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</si>
  <si>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</si>
  <si>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</si>
  <si>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</si>
  <si>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</si>
  <si>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</si>
  <si>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</si>
  <si>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</si>
  <si>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</si>
  <si>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</si>
  <si>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</si>
  <si>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</si>
  <si>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</si>
  <si>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</si>
  <si>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</si>
  <si>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</si>
  <si>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</si>
  <si>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</si>
  <si>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</si>
  <si>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</si>
  <si>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</si>
  <si>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</si>
  <si>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</si>
  <si>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</si>
  <si>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</si>
  <si>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</si>
  <si>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</si>
  <si>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</si>
  <si>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</si>
  <si>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</si>
  <si>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</si>
  <si>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</si>
  <si>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</si>
  <si>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</si>
  <si>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</si>
  <si>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</si>
  <si>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</si>
  <si>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</si>
  <si>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</si>
  <si>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</si>
  <si>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</si>
  <si>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</si>
  <si>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</si>
  <si>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</si>
  <si>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</si>
  <si>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</si>
  <si>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</si>
  <si>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</si>
  <si>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</si>
  <si>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</si>
  <si>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</si>
  <si>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</si>
  <si>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</si>
  <si>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</si>
  <si>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</si>
  <si>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</si>
  <si>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</si>
  <si>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</si>
  <si>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</si>
  <si>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</si>
  <si>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</si>
  <si>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</si>
  <si>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</si>
  <si>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</si>
  <si>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</si>
  <si>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</si>
  <si>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</si>
  <si>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</si>
  <si>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</si>
  <si>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</si>
  <si>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</si>
  <si>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</si>
  <si>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</si>
  <si>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</si>
  <si>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</si>
  <si>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</si>
  <si>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</si>
  <si>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</si>
  <si>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</si>
  <si>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</si>
  <si>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</si>
  <si>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</si>
  <si>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</si>
  <si>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</si>
  <si>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</si>
  <si>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</si>
  <si>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</si>
  <si>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</si>
  <si>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</si>
  <si>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</si>
  <si>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</si>
  <si>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</si>
  <si>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</si>
  <si>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</si>
  <si>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</si>
  <si>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</si>
  <si>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</si>
  <si>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</si>
  <si>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</si>
  <si>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</si>
  <si>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</si>
  <si>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</si>
  <si>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</si>
  <si>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</si>
  <si>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</si>
  <si>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</si>
  <si>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</si>
  <si>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</si>
  <si>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</si>
  <si>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</si>
  <si>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</si>
  <si>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</si>
  <si>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</si>
  <si>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</si>
  <si>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</si>
  <si>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</si>
  <si>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</si>
  <si>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</si>
  <si>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</si>
  <si>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</si>
  <si>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</si>
  <si>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</si>
  <si>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</si>
  <si>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</si>
  <si>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</si>
  <si>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</si>
  <si>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</si>
  <si>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</si>
  <si>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</si>
  <si>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</si>
  <si>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</si>
  <si>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</si>
  <si>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</si>
  <si>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</si>
  <si>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</si>
  <si>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</si>
  <si>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</si>
  <si>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</si>
  <si>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</si>
  <si>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</si>
  <si>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</si>
  <si>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</si>
  <si>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</si>
  <si>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</si>
  <si>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</si>
  <si>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</si>
  <si>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</si>
  <si>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</si>
  <si>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</si>
  <si>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</si>
  <si>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</si>
  <si>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</si>
  <si>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</si>
  <si>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</si>
  <si>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</si>
  <si>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</si>
  <si>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</si>
  <si>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</si>
  <si>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</si>
  <si>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</si>
  <si>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</si>
  <si>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</si>
  <si>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</si>
  <si>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</si>
  <si>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</si>
  <si>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</si>
  <si>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</si>
  <si>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</si>
  <si>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</si>
  <si>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</si>
  <si>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</si>
  <si>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</si>
  <si>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</si>
  <si>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</si>
  <si>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</si>
  <si>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</si>
  <si>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</si>
  <si>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</si>
  <si>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</si>
  <si>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</si>
  <si>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</si>
  <si>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</si>
  <si>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</si>
  <si>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</si>
  <si>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</si>
  <si>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</si>
  <si>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</si>
  <si>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</si>
  <si>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</si>
  <si>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</si>
  <si>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</si>
  <si>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</si>
  <si>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</si>
  <si>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</si>
  <si>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</si>
  <si>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</si>
  <si>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</si>
  <si>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</si>
  <si>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</si>
  <si>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</si>
  <si>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</si>
  <si>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</si>
  <si>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</si>
  <si>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</si>
  <si>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</si>
  <si>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</si>
  <si>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</si>
  <si>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</si>
  <si>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</si>
  <si>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</si>
  <si>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</si>
  <si>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</si>
  <si>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</si>
  <si>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</si>
  <si>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</si>
  <si>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</si>
  <si>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</si>
  <si>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</si>
  <si>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</si>
  <si>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</si>
  <si>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</si>
  <si>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</si>
  <si>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</si>
  <si>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</si>
  <si>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</si>
  <si>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</si>
  <si>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</si>
  <si>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</si>
  <si>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</si>
  <si>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</si>
  <si>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</si>
  <si>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</si>
  <si>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</si>
  <si>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</si>
  <si>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</si>
  <si>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</si>
  <si>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</si>
  <si>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</si>
  <si>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</si>
  <si>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</si>
  <si>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</si>
  <si>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</si>
  <si>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</si>
  <si>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</si>
  <si>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</si>
  <si>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</si>
  <si>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</si>
  <si>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</si>
  <si>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</si>
  <si>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</si>
  <si>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</si>
  <si>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</si>
  <si>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</si>
  <si>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</si>
  <si>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</si>
  <si>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</si>
  <si>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</si>
  <si>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</si>
  <si>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</si>
  <si>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</si>
  <si>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</si>
  <si>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</si>
  <si>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</si>
  <si>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</si>
  <si>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</si>
  <si>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</si>
  <si>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</si>
  <si>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</si>
  <si>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</si>
  <si>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</si>
  <si>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</si>
  <si>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</si>
  <si>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</si>
  <si>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</si>
  <si>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</si>
  <si>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</si>
  <si>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</si>
  <si>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</si>
  <si>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</si>
  <si>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</si>
  <si>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</si>
  <si>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</si>
  <si>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</si>
  <si>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</si>
  <si>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</si>
  <si>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</si>
  <si>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</si>
  <si>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</si>
  <si>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</si>
  <si>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</si>
  <si>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</si>
  <si>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</si>
  <si>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</si>
  <si>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</si>
  <si>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</si>
  <si>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</si>
  <si>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</si>
  <si>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</si>
  <si>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</si>
  <si>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</si>
  <si>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</si>
  <si>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</si>
  <si>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</si>
  <si>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</si>
  <si>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</si>
  <si>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</si>
  <si>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</si>
  <si>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</si>
  <si>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</si>
  <si>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</si>
  <si>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</si>
  <si>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</si>
  <si>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</si>
  <si>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</si>
  <si>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</si>
  <si>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</si>
  <si>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</si>
  <si>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</si>
  <si>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</si>
  <si>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</si>
  <si>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</si>
  <si>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</si>
  <si>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</si>
  <si>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</si>
  <si>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</si>
  <si>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</si>
  <si>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</si>
  <si>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</si>
  <si>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</si>
  <si>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</si>
  <si>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</si>
  <si>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</si>
  <si>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</si>
  <si>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</si>
  <si>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</si>
  <si>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</si>
  <si>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</si>
  <si>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</si>
  <si>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</si>
  <si>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</si>
  <si>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</si>
  <si>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</si>
  <si>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</si>
  <si>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</si>
  <si>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</si>
  <si>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</si>
  <si>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</si>
  <si>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</si>
  <si>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</si>
  <si>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</si>
  <si>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</si>
  <si>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</si>
  <si>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</si>
  <si>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</si>
  <si>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</si>
  <si>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</si>
  <si>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</si>
  <si>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</si>
  <si>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</si>
  <si>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</si>
  <si>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</si>
  <si>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</si>
  <si>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</si>
  <si>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</si>
  <si>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</si>
  <si>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</si>
  <si>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</si>
  <si>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</si>
  <si>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</si>
  <si>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</si>
  <si>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</si>
  <si>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</si>
  <si>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</si>
  <si>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</si>
  <si>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</si>
  <si>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</si>
  <si>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</si>
  <si>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</si>
  <si>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</si>
  <si>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</si>
  <si>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</si>
  <si>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</si>
  <si>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</si>
  <si>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</si>
  <si>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</si>
  <si>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</si>
  <si>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</si>
  <si>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</si>
  <si>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</si>
  <si>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</si>
  <si>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</si>
  <si>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</si>
  <si>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</si>
  <si>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</si>
  <si>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</si>
  <si>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</si>
  <si>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</si>
  <si>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</si>
  <si>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</si>
  <si>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</si>
  <si>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</si>
  <si>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</si>
  <si>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</si>
  <si>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</si>
  <si>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</si>
  <si>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</si>
  <si>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</si>
  <si>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</si>
  <si>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</si>
  <si>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</si>
  <si>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</si>
  <si>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</si>
  <si>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</si>
  <si>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</si>
  <si>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</si>
  <si>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</si>
  <si>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</si>
  <si>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</si>
  <si>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</si>
  <si>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</si>
  <si>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</si>
  <si>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</si>
  <si>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</si>
  <si>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</si>
  <si>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</si>
  <si>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</si>
  <si>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</si>
  <si>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</si>
  <si>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</si>
  <si>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</si>
  <si>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</si>
  <si>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</si>
  <si>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</si>
  <si>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</si>
  <si>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</si>
  <si>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</si>
  <si>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</si>
  <si>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</si>
  <si>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</si>
  <si>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</si>
  <si>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</si>
  <si>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</si>
  <si>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</si>
  <si>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</si>
  <si>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</si>
  <si>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</si>
  <si>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</si>
  <si>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</si>
  <si>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</si>
  <si>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</si>
  <si>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</si>
  <si>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</si>
  <si>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</si>
  <si>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</si>
  <si>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</si>
  <si>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</si>
  <si>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</si>
  <si>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</si>
  <si>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</si>
  <si>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</si>
  <si>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</si>
  <si>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</si>
  <si>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</si>
  <si>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</si>
  <si>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</si>
  <si>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</si>
  <si>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</si>
  <si>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</si>
  <si>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</si>
  <si>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</si>
  <si>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</si>
  <si>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</si>
  <si>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</si>
  <si>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</si>
  <si>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</si>
  <si>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</si>
  <si>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</si>
  <si>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</si>
  <si>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</si>
  <si>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</si>
  <si>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</si>
  <si>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</si>
  <si>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</si>
  <si>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</si>
  <si>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</si>
  <si>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</si>
  <si>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</si>
  <si>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</si>
  <si>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</si>
  <si>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</si>
  <si>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</si>
  <si>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</si>
  <si>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</si>
  <si>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</si>
  <si>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</si>
  <si>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</si>
  <si>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</si>
  <si>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</si>
  <si>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</si>
  <si>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</si>
  <si>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</si>
  <si>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</si>
  <si>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</si>
  <si>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</si>
  <si>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</si>
  <si>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</si>
  <si>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</si>
  <si>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</si>
  <si>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</si>
  <si>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</si>
  <si>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</si>
  <si>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</si>
  <si>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</si>
  <si>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</si>
  <si>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</si>
  <si>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</si>
  <si>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</si>
  <si>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</si>
  <si>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</si>
  <si>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</si>
  <si>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</si>
  <si>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</si>
  <si>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</si>
  <si>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</si>
  <si>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</si>
  <si>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</si>
  <si>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</si>
  <si>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</si>
  <si>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</si>
  <si>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</si>
  <si>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</si>
  <si>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</si>
  <si>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</si>
  <si>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</si>
  <si>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</si>
  <si>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</si>
  <si>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</si>
  <si>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</si>
  <si>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</si>
  <si>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</si>
  <si>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</si>
  <si>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</si>
  <si>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</si>
  <si>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</si>
  <si>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</si>
  <si>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</si>
  <si>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</si>
  <si>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</si>
  <si>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</si>
  <si>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</si>
  <si>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</si>
  <si>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</si>
  <si>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</si>
  <si>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</si>
  <si>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</si>
  <si>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</si>
  <si>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</si>
  <si>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</si>
  <si>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</si>
  <si>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</si>
  <si>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</si>
  <si>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</si>
  <si>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</si>
  <si>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</si>
  <si>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</si>
  <si>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</si>
  <si>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</si>
  <si>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</si>
  <si>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</si>
  <si>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</si>
  <si>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</si>
  <si>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</si>
  <si>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</si>
  <si>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</si>
  <si>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</si>
  <si>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</si>
  <si>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</si>
  <si>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</si>
  <si>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</si>
  <si>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</si>
  <si>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</si>
  <si>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</si>
  <si>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</si>
  <si>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</si>
  <si>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</si>
  <si>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</si>
  <si>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</si>
  <si>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</si>
  <si>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</si>
  <si>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</si>
  <si>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</si>
  <si>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</si>
  <si>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</si>
  <si>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</si>
  <si>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</si>
  <si>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</si>
  <si>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</si>
  <si>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</si>
  <si>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</si>
  <si>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</si>
  <si>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</si>
  <si>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</si>
  <si>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</si>
  <si>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</si>
  <si>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</si>
  <si>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</si>
  <si>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</si>
  <si>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</si>
  <si>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</si>
  <si>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</si>
  <si>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</si>
  <si>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</si>
  <si>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</si>
  <si>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</si>
  <si>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</si>
  <si>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</si>
  <si>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</si>
  <si>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</si>
  <si>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</si>
  <si>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</si>
  <si>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</si>
  <si>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</si>
  <si>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</si>
  <si>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</si>
  <si>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</si>
  <si>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</si>
  <si>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</si>
  <si>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</si>
  <si>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</si>
  <si>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</si>
  <si>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</si>
  <si>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</si>
  <si>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</si>
  <si>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</si>
  <si>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</si>
  <si>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</si>
  <si>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</si>
  <si>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</si>
  <si>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</si>
  <si>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</si>
  <si>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</si>
  <si>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</si>
  <si>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</si>
  <si>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</si>
  <si>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</si>
  <si>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</si>
  <si>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</si>
  <si>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</si>
  <si>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</si>
  <si>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</si>
  <si>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</si>
  <si>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</si>
  <si>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</si>
  <si>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</si>
  <si>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</si>
  <si>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</si>
  <si>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</si>
  <si>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</si>
  <si>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</si>
  <si>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</si>
  <si>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</si>
  <si>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</si>
  <si>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</si>
  <si>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</si>
  <si>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</si>
  <si>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</si>
  <si>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</si>
  <si>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</si>
  <si>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</si>
  <si>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</si>
  <si>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</si>
  <si>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</si>
  <si>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</si>
  <si>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</si>
  <si>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</si>
  <si>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</si>
  <si>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</si>
  <si>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</si>
  <si>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</si>
  <si>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</si>
  <si>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</si>
  <si>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</si>
  <si>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</si>
  <si>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</si>
  <si>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</si>
  <si>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</si>
  <si>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</si>
  <si>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</si>
  <si>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</si>
  <si>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</si>
  <si>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</si>
  <si>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</si>
  <si>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</si>
  <si>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</si>
  <si>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</si>
  <si>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</si>
  <si>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</si>
  <si>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</si>
  <si>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</si>
  <si>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</si>
  <si>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</si>
  <si>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</si>
  <si>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</si>
  <si>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</si>
  <si>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</si>
  <si>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</si>
  <si>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</si>
  <si>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</si>
  <si>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</si>
  <si>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</si>
  <si>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</si>
  <si>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</si>
  <si>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</si>
  <si>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</si>
  <si>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</si>
  <si>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</si>
  <si>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</si>
  <si>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</si>
  <si>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</si>
  <si>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</si>
  <si>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</si>
  <si>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</si>
  <si>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</si>
  <si>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</si>
  <si>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</si>
  <si>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</si>
  <si>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</si>
  <si>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</si>
  <si>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</si>
  <si>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</si>
  <si>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</si>
  <si>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</si>
  <si>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</si>
  <si>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</si>
  <si>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</si>
  <si>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</si>
  <si>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</si>
  <si>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</si>
  <si>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</si>
  <si>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</si>
  <si>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</si>
  <si>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</si>
  <si>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</si>
  <si>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</si>
  <si>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</si>
  <si>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</si>
  <si>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</si>
  <si>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</si>
  <si>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</si>
  <si>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</si>
  <si>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</si>
  <si>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</si>
  <si>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</si>
  <si>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</si>
  <si>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</si>
  <si>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</si>
  <si>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</si>
  <si>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</si>
  <si>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</si>
  <si>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</si>
  <si>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</si>
  <si>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</si>
  <si>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</si>
  <si>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</si>
  <si>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</si>
  <si>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</si>
  <si>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</si>
  <si>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</si>
  <si>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</si>
  <si>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</si>
  <si>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</si>
  <si>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</si>
  <si>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</si>
  <si>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</si>
  <si>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</si>
  <si>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</si>
  <si>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</si>
  <si>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</si>
  <si>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</si>
  <si>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</si>
  <si>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</si>
  <si>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</si>
  <si>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</si>
  <si>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</si>
  <si>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</si>
  <si>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</si>
  <si>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</si>
  <si>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</si>
  <si>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</si>
  <si>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</si>
  <si>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</si>
  <si>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</si>
  <si>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</si>
  <si>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</si>
  <si>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</si>
  <si>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</si>
  <si>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</si>
  <si>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</si>
  <si>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</si>
  <si>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</si>
  <si>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</si>
  <si>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</si>
  <si>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</si>
  <si>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</si>
  <si>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</si>
  <si>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</si>
  <si>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</si>
  <si>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</si>
  <si>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</si>
  <si>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</si>
  <si>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</si>
  <si>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</si>
  <si>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</si>
  <si>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</si>
  <si>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</si>
  <si>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</si>
  <si>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</si>
  <si>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</si>
  <si>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</si>
  <si>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</si>
  <si>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</si>
  <si>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</si>
  <si>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</si>
  <si>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</si>
  <si>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</si>
  <si>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</si>
  <si>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</si>
  <si>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</si>
  <si>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</si>
  <si>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</si>
  <si>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</si>
  <si>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</si>
  <si>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</si>
  <si>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</si>
  <si>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</si>
  <si>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</si>
  <si>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</si>
  <si>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</si>
  <si>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</si>
  <si>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</si>
  <si>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</si>
  <si>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</si>
  <si>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</si>
  <si>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</si>
  <si>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</si>
  <si>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</si>
  <si>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</si>
  <si>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</si>
  <si>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</si>
  <si>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</si>
  <si>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</si>
  <si>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</si>
  <si>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</si>
  <si>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</si>
  <si>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</si>
  <si>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</si>
  <si>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</si>
  <si>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</si>
  <si>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</si>
  <si>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</si>
  <si>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</si>
  <si>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</si>
  <si>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</si>
  <si>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</si>
  <si>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</si>
  <si>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</si>
  <si>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</si>
  <si>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</si>
  <si>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</si>
  <si>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</si>
  <si>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</si>
  <si>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</si>
  <si>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</si>
  <si>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</si>
  <si>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</si>
  <si>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</si>
  <si>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</si>
  <si>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</si>
  <si>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</si>
  <si>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</si>
  <si>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</si>
  <si>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</si>
  <si>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</si>
  <si>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</si>
  <si>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</si>
  <si>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</si>
  <si>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</si>
  <si>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</si>
  <si>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</si>
  <si>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</si>
  <si>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</si>
  <si>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</si>
  <si>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</si>
  <si>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</si>
  <si>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</si>
  <si>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</si>
  <si>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</si>
  <si>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</si>
  <si>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</si>
  <si>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</si>
  <si>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</si>
  <si>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</si>
  <si>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</si>
  <si>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</si>
  <si>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</si>
  <si>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</si>
  <si>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</si>
  <si>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</si>
  <si>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</si>
  <si>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</si>
  <si>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</si>
  <si>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</si>
  <si>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</si>
  <si>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</si>
  <si>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</si>
  <si>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</si>
  <si>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</si>
  <si>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</si>
  <si>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</si>
  <si>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</si>
  <si>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</si>
  <si>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</si>
  <si>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</si>
  <si>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</si>
  <si>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</si>
  <si>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</si>
  <si>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</si>
  <si>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</si>
  <si>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</si>
  <si>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</si>
  <si>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</si>
  <si>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</si>
  <si>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</si>
  <si>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</si>
  <si>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</si>
  <si>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</si>
  <si>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</si>
  <si>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</si>
  <si>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</si>
  <si>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</si>
  <si>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</si>
  <si>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</si>
  <si>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</si>
  <si>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</si>
  <si>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</si>
  <si>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</si>
  <si>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</si>
  <si>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</si>
  <si>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</si>
  <si>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</si>
  <si>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</si>
  <si>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</si>
  <si>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</si>
  <si>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</si>
  <si>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</si>
  <si>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</si>
  <si>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</si>
  <si>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</si>
  <si>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</si>
  <si>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</si>
  <si>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</si>
  <si>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</si>
  <si>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</si>
  <si>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</si>
  <si>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</si>
  <si>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</si>
  <si>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</si>
  <si>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</si>
  <si>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</si>
  <si>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</si>
  <si>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</si>
  <si>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</si>
  <si>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</si>
  <si>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</si>
  <si>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</si>
  <si>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</si>
  <si>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</si>
  <si>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</si>
  <si>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</si>
  <si>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</si>
  <si>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</si>
  <si>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</si>
  <si>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</si>
  <si>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</si>
  <si>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</si>
  <si>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</si>
  <si>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</si>
  <si>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</si>
  <si>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</si>
  <si>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</si>
  <si>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</si>
  <si>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</si>
  <si>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</si>
  <si>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</si>
  <si>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</si>
  <si>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</si>
  <si>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</si>
  <si>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</si>
  <si>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</si>
  <si>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</si>
  <si>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</si>
  <si>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</si>
  <si>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</si>
  <si>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</si>
  <si>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</si>
  <si>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</si>
  <si>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</si>
  <si>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</si>
  <si>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</si>
  <si>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</si>
  <si>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</si>
  <si>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</si>
  <si>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</si>
  <si>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</si>
  <si>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</si>
  <si>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</si>
  <si>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</si>
  <si>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</si>
  <si>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</si>
  <si>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</si>
  <si>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</si>
  <si>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</si>
  <si>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</si>
  <si>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</si>
  <si>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</si>
  <si>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</si>
  <si>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</si>
  <si>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</si>
  <si>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</si>
  <si>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</si>
  <si>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</si>
  <si>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</si>
  <si>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</si>
  <si>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</si>
  <si>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</si>
  <si>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</si>
  <si>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</si>
  <si>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</si>
  <si>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</si>
  <si>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</si>
  <si>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</si>
  <si>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</si>
  <si>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</si>
  <si>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</si>
  <si>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</si>
  <si>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</si>
  <si>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</si>
  <si>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</si>
  <si>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</si>
  <si>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</si>
  <si>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</si>
  <si>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</si>
  <si>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</si>
  <si>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</si>
  <si>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</si>
  <si>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</si>
  <si>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</si>
  <si>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</si>
  <si>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</si>
  <si>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</si>
  <si>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</si>
  <si>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</si>
  <si>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</si>
  <si>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</si>
  <si>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</si>
  <si>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</si>
  <si>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</si>
  <si>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</si>
  <si>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</si>
  <si>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</si>
  <si>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</si>
  <si>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</si>
  <si>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</si>
  <si>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</si>
  <si>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</si>
  <si>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</si>
  <si>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</si>
  <si>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</si>
  <si>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</si>
  <si>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</si>
  <si>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</si>
  <si>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</si>
  <si>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</si>
  <si>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</si>
  <si>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</si>
  <si>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</si>
  <si>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</si>
  <si>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</si>
  <si>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</si>
  <si>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</si>
  <si>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</si>
  <si>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</si>
  <si>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</si>
  <si>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</si>
  <si>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</si>
  <si>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</si>
  <si>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</si>
  <si>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</si>
  <si>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</si>
  <si>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</si>
  <si>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</si>
  <si>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</si>
  <si>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</si>
  <si>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</si>
  <si>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</si>
  <si>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</si>
  <si>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</si>
  <si>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</si>
  <si>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</si>
  <si>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</si>
  <si>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</si>
  <si>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</si>
  <si>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</si>
  <si>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</si>
  <si>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</si>
  <si>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</si>
  <si>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</si>
  <si>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</si>
  <si>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</si>
  <si>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</si>
  <si>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</si>
  <si>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</si>
  <si>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</si>
  <si>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</si>
  <si>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</si>
  <si>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</si>
  <si>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</si>
  <si>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</si>
  <si>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</si>
  <si>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</si>
  <si>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</si>
  <si>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</si>
  <si>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</si>
  <si>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</si>
  <si>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</si>
  <si>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</si>
  <si>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</si>
  <si>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</si>
  <si>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</si>
  <si>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</si>
  <si>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</si>
  <si>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</si>
  <si>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</si>
  <si>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</si>
  <si>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</si>
  <si>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</si>
  <si>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</si>
  <si>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</si>
  <si>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</si>
  <si>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</si>
  <si>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</si>
  <si>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</si>
  <si>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</si>
  <si>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</si>
  <si>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</si>
  <si>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</si>
  <si>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</si>
  <si>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</si>
  <si>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</si>
  <si>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</si>
  <si>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</si>
  <si>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</si>
  <si>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</si>
  <si>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</si>
  <si>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</si>
  <si>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</si>
  <si>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</si>
  <si>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</si>
  <si>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</si>
  <si>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</si>
  <si>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</si>
  <si>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</si>
  <si>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</si>
  <si>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</si>
  <si>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</si>
  <si>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</si>
  <si>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</si>
  <si>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</si>
  <si>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</si>
  <si>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</si>
  <si>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</si>
  <si>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</si>
  <si>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</si>
  <si>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</si>
  <si>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</si>
  <si>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</si>
  <si>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</si>
  <si>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</si>
  <si>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</si>
  <si>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</si>
  <si>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</si>
  <si>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</si>
  <si>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</si>
  <si>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</si>
  <si>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</si>
  <si>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</si>
  <si>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</si>
  <si>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</si>
  <si>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</si>
  <si>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</si>
  <si>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</si>
  <si>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</si>
  <si>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</si>
  <si>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</si>
  <si>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</si>
  <si>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</si>
  <si>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</si>
  <si>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</si>
  <si>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</si>
  <si>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</si>
  <si>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</si>
  <si>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</si>
  <si>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</si>
  <si>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</si>
  <si>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</si>
  <si>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</si>
  <si>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</si>
  <si>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</si>
  <si>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</si>
  <si>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</si>
  <si>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</si>
  <si>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</si>
  <si>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</si>
  <si>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</si>
  <si>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</si>
  <si>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</si>
  <si>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</si>
  <si>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</si>
  <si>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</si>
  <si>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</si>
  <si>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</si>
  <si>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</si>
  <si>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</si>
  <si>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</si>
  <si>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</si>
  <si>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</si>
  <si>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</si>
  <si>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</si>
  <si>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</si>
  <si>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</si>
  <si>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</si>
  <si>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</si>
  <si>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</si>
  <si>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</si>
  <si>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</si>
  <si>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</si>
  <si>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</si>
  <si>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</si>
  <si>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</si>
  <si>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</si>
  <si>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</si>
  <si>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</si>
  <si>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</si>
  <si>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</si>
  <si>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</si>
  <si>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</si>
  <si>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</si>
  <si>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</si>
  <si>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</si>
  <si>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</si>
  <si>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</si>
  <si>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</si>
  <si>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</si>
  <si>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</si>
  <si>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</si>
  <si>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</si>
  <si>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</si>
  <si>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</si>
  <si>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</si>
  <si>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</si>
  <si>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</si>
  <si>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</si>
  <si>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</si>
  <si>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</si>
  <si>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</si>
  <si>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</si>
  <si>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</si>
  <si>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</si>
  <si>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</si>
  <si>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</si>
  <si>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</si>
  <si>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</si>
  <si>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</si>
  <si>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</si>
  <si>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</si>
  <si>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</si>
  <si>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</si>
  <si>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</si>
  <si>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</si>
  <si>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</si>
  <si>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</si>
  <si>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</si>
  <si>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</si>
  <si>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</si>
  <si>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</si>
  <si>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</si>
  <si>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</si>
  <si>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</si>
  <si>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</si>
  <si>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</si>
  <si>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</si>
  <si>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</si>
  <si>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</si>
  <si>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</si>
  <si>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</si>
  <si>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</si>
  <si>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</si>
  <si>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</si>
  <si>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</si>
  <si>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</si>
  <si>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</si>
  <si>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</si>
  <si>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</si>
  <si>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</si>
  <si>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</si>
  <si>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</si>
  <si>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</si>
  <si>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</si>
  <si>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</si>
  <si>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</si>
  <si>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</si>
  <si>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</si>
  <si>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</si>
  <si>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</si>
  <si>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</si>
  <si>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</si>
  <si>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</si>
  <si>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</si>
  <si>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</si>
  <si>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</si>
  <si>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</si>
  <si>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</si>
  <si>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</si>
  <si>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</si>
  <si>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</si>
  <si>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</si>
  <si>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</si>
  <si>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</si>
  <si>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</si>
  <si>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</si>
  <si>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</si>
  <si>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</si>
  <si>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</si>
  <si>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</si>
  <si>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</si>
  <si>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</si>
  <si>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</si>
  <si>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</si>
  <si>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</si>
  <si>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</si>
  <si>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</si>
  <si>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</si>
  <si>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</si>
  <si>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</si>
  <si>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</si>
  <si>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</si>
  <si>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</si>
  <si>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</si>
  <si>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</si>
  <si>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</si>
  <si>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</si>
  <si>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</si>
  <si>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</si>
  <si>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</si>
  <si>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</si>
  <si>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</si>
  <si>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</si>
  <si>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</si>
  <si>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</si>
  <si>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</si>
  <si>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</si>
  <si>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</si>
  <si>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</si>
  <si>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</si>
  <si>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</si>
  <si>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</si>
  <si>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</si>
  <si>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</si>
  <si>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</si>
  <si>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</si>
  <si>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</si>
  <si>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</si>
  <si>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</si>
  <si>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</si>
  <si>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</si>
  <si>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</si>
  <si>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</si>
  <si>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</si>
  <si>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</si>
  <si>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</si>
  <si>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</si>
  <si>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</si>
  <si>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</si>
  <si>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</si>
  <si>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</si>
  <si>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</si>
  <si>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</si>
  <si>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</si>
  <si>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</si>
  <si>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</si>
  <si>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</si>
  <si>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</si>
  <si>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</si>
  <si>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</si>
  <si>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</si>
  <si>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</si>
  <si>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</si>
  <si>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</si>
  <si>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</si>
  <si>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</si>
  <si>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</si>
  <si>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</si>
  <si>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</si>
  <si>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</si>
  <si>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</si>
  <si>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</si>
  <si>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</si>
  <si>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</si>
  <si>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</si>
  <si>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</si>
  <si>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</si>
  <si>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</si>
  <si>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</si>
  <si>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</si>
  <si>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</si>
  <si>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</si>
  <si>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</si>
  <si>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</si>
  <si>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</si>
  <si>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</si>
  <si>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</si>
  <si>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</si>
  <si>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</si>
  <si>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</si>
  <si>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</si>
  <si>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</si>
  <si>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</si>
  <si>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</si>
  <si>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</si>
  <si>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</si>
  <si>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</si>
  <si>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</si>
  <si>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</si>
  <si>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</si>
  <si>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</si>
  <si>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</si>
  <si>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</si>
  <si>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</si>
  <si>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</si>
  <si>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</si>
  <si>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</si>
  <si>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</si>
  <si>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</si>
  <si>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</si>
  <si>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</si>
  <si>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</si>
  <si>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</si>
  <si>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</si>
  <si>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</si>
  <si>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</si>
  <si>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</si>
  <si>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</si>
  <si>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</si>
  <si>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</si>
  <si>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</si>
  <si>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</si>
  <si>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</si>
  <si>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</si>
  <si>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</si>
  <si>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</si>
  <si>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</si>
  <si>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</si>
  <si>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</si>
  <si>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</si>
  <si>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</si>
  <si>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</si>
  <si>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</si>
  <si>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</si>
  <si>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</si>
  <si>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</si>
  <si>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</si>
  <si>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</si>
  <si>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</si>
  <si>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</si>
  <si>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</si>
  <si>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</si>
  <si>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</si>
  <si>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</si>
  <si>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</si>
  <si>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</si>
  <si>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</si>
  <si>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</si>
  <si>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</si>
  <si>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</si>
  <si>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</si>
  <si>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</si>
  <si>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</si>
  <si>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</si>
  <si>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</si>
  <si>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</si>
  <si>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</si>
  <si>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</si>
  <si>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</si>
  <si>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</si>
  <si>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</si>
  <si>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</si>
  <si>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</si>
  <si>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</si>
  <si>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</si>
  <si>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</si>
  <si>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</si>
  <si>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</si>
  <si>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</si>
  <si>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</si>
  <si>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</si>
  <si>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</si>
  <si>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</si>
  <si>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</si>
  <si>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</si>
  <si>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</si>
  <si>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</si>
  <si>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</si>
  <si>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</si>
  <si>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</si>
  <si>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</si>
  <si>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</si>
  <si>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</si>
  <si>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</si>
  <si>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</si>
  <si>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</si>
  <si>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</si>
  <si>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</si>
  <si>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</si>
  <si>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</si>
  <si>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</si>
  <si>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</si>
  <si>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</si>
  <si>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</si>
  <si>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</si>
  <si>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</si>
  <si>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</si>
  <si>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</si>
  <si>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</si>
  <si>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</si>
  <si>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</si>
  <si>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</si>
  <si>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</si>
  <si>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</si>
  <si>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</si>
  <si>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</si>
  <si>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</si>
  <si>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</si>
  <si>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</si>
  <si>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</si>
  <si>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</si>
  <si>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</si>
  <si>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</si>
  <si>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</si>
  <si>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</si>
  <si>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</si>
  <si>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</si>
  <si>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</si>
  <si>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</si>
  <si>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</si>
  <si>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</si>
  <si>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</si>
  <si>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</si>
  <si>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</si>
  <si>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</si>
  <si>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</si>
  <si>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</si>
  <si>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</si>
  <si>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</si>
  <si>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</si>
  <si>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</si>
  <si>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</si>
  <si>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</si>
  <si>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</si>
  <si>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</si>
  <si>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</si>
  <si>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</si>
  <si>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</si>
  <si>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</si>
  <si>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</si>
  <si>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</si>
  <si>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</si>
  <si>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</si>
  <si>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</si>
  <si>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</si>
  <si>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</si>
  <si>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</si>
  <si>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</si>
  <si>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</si>
  <si>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</si>
  <si>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</si>
  <si>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</si>
  <si>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</si>
  <si>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</si>
  <si>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</si>
  <si>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</si>
  <si>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</si>
  <si>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</si>
  <si>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</si>
  <si>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</si>
  <si>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</si>
  <si>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</si>
  <si>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</si>
  <si>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</si>
  <si>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</si>
  <si>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</si>
  <si>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</si>
  <si>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</si>
  <si>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</si>
  <si>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</si>
  <si>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</si>
  <si>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</si>
  <si>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</si>
  <si>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</si>
  <si>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</si>
  <si>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</si>
  <si>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</si>
  <si>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</si>
  <si>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</si>
  <si>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</si>
  <si>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</si>
  <si>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</si>
  <si>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</si>
  <si>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</si>
  <si>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</si>
  <si>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</si>
  <si>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</si>
  <si>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</si>
  <si>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</si>
  <si>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</si>
  <si>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</si>
  <si>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</si>
  <si>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</si>
  <si>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</si>
  <si>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</si>
  <si>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</si>
  <si>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</si>
  <si>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</si>
  <si>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</si>
  <si>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</si>
  <si>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</si>
  <si>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</si>
  <si>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</si>
  <si>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</si>
  <si>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</si>
  <si>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</si>
  <si>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</si>
  <si>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</si>
  <si>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</si>
  <si>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</si>
  <si>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</si>
  <si>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</si>
  <si>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</si>
  <si>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</si>
  <si>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</si>
  <si>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</si>
  <si>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</si>
  <si>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</si>
  <si>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</si>
  <si>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</si>
  <si>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</si>
  <si>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</si>
  <si>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</si>
  <si>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</si>
  <si>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</si>
  <si>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</si>
  <si>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</si>
  <si>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</si>
  <si>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</si>
  <si>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</si>
  <si>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</si>
  <si>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</si>
  <si>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</si>
  <si>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</si>
  <si>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</si>
  <si>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</si>
  <si>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</si>
  <si>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</si>
  <si>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</si>
  <si>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</si>
  <si>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</si>
  <si>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</si>
  <si>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</si>
  <si>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</si>
  <si>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</si>
  <si>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</si>
  <si>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</si>
  <si>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</si>
  <si>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</si>
  <si>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</si>
  <si>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</si>
  <si>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</si>
  <si>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</si>
  <si>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</si>
  <si>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</si>
  <si>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</si>
  <si>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</si>
  <si>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</si>
  <si>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</si>
  <si>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</si>
  <si>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</si>
  <si>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</si>
  <si>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</si>
  <si>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</si>
  <si>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</si>
  <si>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</si>
  <si>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</si>
  <si>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</si>
  <si>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</si>
  <si>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</si>
  <si>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</si>
  <si>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</si>
  <si>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</si>
  <si>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</si>
  <si>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</si>
  <si>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</si>
  <si>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</si>
  <si>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</si>
  <si>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商品房</t>
    <phoneticPr fontId="24" type="noConversion"/>
  </si>
  <si>
    <t>成本价出售住宅</t>
    <phoneticPr fontId="24" type="noConversion"/>
  </si>
  <si>
    <t>混合</t>
    <phoneticPr fontId="24" type="noConversion"/>
  </si>
  <si>
    <t>新城国际</t>
    <phoneticPr fontId="134" type="noConversion"/>
  </si>
  <si>
    <t>朝阳门外大街6号院1号楼18层2207</t>
    <phoneticPr fontId="134" type="noConversion"/>
  </si>
  <si>
    <t>1室1厅1卫1厨</t>
    <phoneticPr fontId="134" type="noConversion"/>
  </si>
  <si>
    <t>精装修</t>
    <phoneticPr fontId="134" type="noConversion"/>
  </si>
  <si>
    <t>光华路甲9号3号楼17层20D</t>
    <phoneticPr fontId="134" type="noConversion"/>
  </si>
  <si>
    <t>世贸国际公寓</t>
    <phoneticPr fontId="134" type="noConversion"/>
  </si>
  <si>
    <t>财富中心</t>
    <phoneticPr fontId="134" type="noConversion"/>
  </si>
  <si>
    <t>东三环中路7号1号楼33C</t>
    <phoneticPr fontId="134" type="noConversion"/>
  </si>
  <si>
    <t>公寓</t>
  </si>
  <si>
    <t>周边有新城国际公寓、世贸国际公寓、温莎大道等住宅小区，居住社区成熟度好。</t>
    <phoneticPr fontId="40" type="noConversion"/>
  </si>
  <si>
    <t>周边有9路、98路、113路、140路、368路等多条公交线路，地铁1号线与10号线换乘站国贸站，地铁6号线与10号线换乘站呼家楼站，综合评价交通便捷度好</t>
    <phoneticPr fontId="40" type="noConversion"/>
  </si>
  <si>
    <t>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40" type="noConversion"/>
  </si>
  <si>
    <t>自然环境：团结湖公园等自然景观；
人文环境：当代美术馆等人文场所；
综合评价环境状况较好。</t>
    <phoneticPr fontId="40" type="noConversion"/>
  </si>
  <si>
    <t>自然环境：日坛公园等自然景观；
人文环境：当代美术馆等人文场所；
综合评价环境状况较好。</t>
    <phoneticPr fontId="24" type="noConversion"/>
  </si>
  <si>
    <t>银行：中国银行、中国建设银行、中国民生银行等金融机构；
医院：首都儿科研究所附属儿童医院、建外第二社区卫生服务中心等医疗机构；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24" type="noConversion"/>
  </si>
  <si>
    <t>东三环中路7号1号楼31层35F1号</t>
    <phoneticPr fontId="3" type="noConversion"/>
  </si>
  <si>
    <t>南</t>
  </si>
  <si>
    <t>北</t>
  </si>
  <si>
    <t>西北</t>
  </si>
  <si>
    <t>高楼层</t>
    <phoneticPr fontId="24" type="noConversion"/>
  </si>
  <si>
    <t>31/43</t>
    <phoneticPr fontId="24" type="noConversion"/>
  </si>
  <si>
    <t>17/30</t>
    <phoneticPr fontId="24" type="noConversion"/>
  </si>
  <si>
    <t>中楼层</t>
    <phoneticPr fontId="24" type="noConversion"/>
  </si>
  <si>
    <t>30/40</t>
    <phoneticPr fontId="24" type="noConversion"/>
  </si>
  <si>
    <t>18/33</t>
    <phoneticPr fontId="24" type="noConversion"/>
  </si>
  <si>
    <t>高楼层</t>
    <phoneticPr fontId="3" type="noConversion"/>
  </si>
  <si>
    <t>中楼层</t>
    <phoneticPr fontId="3" type="noConversion"/>
  </si>
  <si>
    <t>低楼层</t>
    <phoneticPr fontId="3" type="noConversion"/>
  </si>
  <si>
    <t>塔楼</t>
  </si>
  <si>
    <t>一般装修</t>
  </si>
  <si>
    <t>一般装修</t>
    <phoneticPr fontId="24" type="noConversion"/>
  </si>
  <si>
    <t>精装修</t>
  </si>
  <si>
    <t>小区环境</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</si>
</sst>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47" fillId="9" borderId="24" xfId="0" applyNumberFormat="1" applyFont="1" applyFill="1" applyBorder="1" applyAlignment="1">
      <alignment horizontal="center" vertical="center"/>
    </xf>
    <xf numFmtId="10" fontId="113" fillId="9" borderId="23" xfId="0" applyNumberFormat="1" applyFont="1" applyFill="1" applyBorder="1" applyProtection="1">
      <alignment vertical="center"/>
      <protection locked="0"/>
    </xf>
    <xf numFmtId="179" fontId="52" fillId="9" borderId="24" xfId="0" applyNumberFormat="1" applyFont="1" applyFill="1" applyBorder="1" applyAlignment="1">
      <alignment horizontal="center" vertical="center"/>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1" fillId="9" borderId="37" xfId="0" applyFont="1" applyFill="1" applyBorder="1" applyAlignment="1" applyProtection="1">
      <alignment horizontal="center" vertical="center" wrapText="1"/>
      <protection locked="0"/>
    </xf>
    <xf numFmtId="49" fontId="128" fillId="9"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16</xdr:row>
      <xdr:rowOff>38100</xdr:rowOff>
    </xdr:from>
    <xdr:to>
      <xdr:col>18</xdr:col>
      <xdr:colOff>685800</xdr:colOff>
      <xdr:row>26</xdr:row>
      <xdr:rowOff>85725</xdr:rowOff>
    </xdr:to>
    <xdr:pic>
      <xdr:nvPicPr>
        <xdr:cNvPr id="24" name="图片 1">
          <a:extLst>
            <a:ext uri="{FF2B5EF4-FFF2-40B4-BE49-F238E27FC236}">
              <a16:creationId xmlns:a16="http://schemas.microsoft.com/office/drawing/2014/main" xmlns=""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1050" y="40005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238125</xdr:colOff>
      <xdr:row>1</xdr:row>
      <xdr:rowOff>4101</xdr:rowOff>
    </xdr:from>
    <xdr:to>
      <xdr:col>29</xdr:col>
      <xdr:colOff>65270</xdr:colOff>
      <xdr:row>13</xdr:row>
      <xdr:rowOff>161244</xdr:rowOff>
    </xdr:to>
    <xdr:pic>
      <xdr:nvPicPr>
        <xdr:cNvPr id="14" name="图片 13">
          <a:extLst>
            <a:ext uri="{FF2B5EF4-FFF2-40B4-BE49-F238E27FC236}">
              <a16:creationId xmlns:a16="http://schemas.microsoft.com/office/drawing/2014/main" xmlns="" id="{6B065710-45B0-FDAD-BBA3-0A52BBDEDB3B}"/>
            </a:ext>
          </a:extLst>
        </xdr:cNvPr>
        <xdr:cNvPicPr>
          <a:picLocks noChangeAspect="1"/>
        </xdr:cNvPicPr>
      </xdr:nvPicPr>
      <xdr:blipFill>
        <a:blip xmlns:r="http://schemas.openxmlformats.org/officeDocument/2006/relationships" r:embed="rId2"/>
        <a:stretch>
          <a:fillRect/>
        </a:stretch>
      </xdr:blipFill>
      <xdr:spPr>
        <a:xfrm>
          <a:off x="17706975" y="175551"/>
          <a:ext cx="6199370" cy="3005118"/>
        </a:xfrm>
        <a:prstGeom prst="rect">
          <a:avLst/>
        </a:prstGeom>
      </xdr:spPr>
    </xdr:pic>
    <xdr:clientData/>
  </xdr:twoCellAnchor>
  <xdr:twoCellAnchor editAs="oneCell">
    <xdr:from>
      <xdr:col>4</xdr:col>
      <xdr:colOff>590550</xdr:colOff>
      <xdr:row>6</xdr:row>
      <xdr:rowOff>195073</xdr:rowOff>
    </xdr:from>
    <xdr:to>
      <xdr:col>15</xdr:col>
      <xdr:colOff>76200</xdr:colOff>
      <xdr:row>9</xdr:row>
      <xdr:rowOff>42052</xdr:rowOff>
    </xdr:to>
    <xdr:pic>
      <xdr:nvPicPr>
        <xdr:cNvPr id="15" name="图片 14">
          <a:extLst>
            <a:ext uri="{FF2B5EF4-FFF2-40B4-BE49-F238E27FC236}">
              <a16:creationId xmlns:a16="http://schemas.microsoft.com/office/drawing/2014/main" xmlns="" id="{1BB94EC5-E65F-FF77-3921-590F42758873}"/>
            </a:ext>
          </a:extLst>
        </xdr:cNvPr>
        <xdr:cNvPicPr>
          <a:picLocks noChangeAspect="1"/>
        </xdr:cNvPicPr>
      </xdr:nvPicPr>
      <xdr:blipFill>
        <a:blip xmlns:r="http://schemas.openxmlformats.org/officeDocument/2006/relationships" r:embed="rId3"/>
        <a:stretch>
          <a:fillRect/>
        </a:stretch>
      </xdr:blipFill>
      <xdr:spPr>
        <a:xfrm>
          <a:off x="5705475" y="1633348"/>
          <a:ext cx="7762875" cy="742329"/>
        </a:xfrm>
        <a:prstGeom prst="rect">
          <a:avLst/>
        </a:prstGeom>
      </xdr:spPr>
    </xdr:pic>
    <xdr:clientData/>
  </xdr:twoCellAnchor>
  <xdr:twoCellAnchor editAs="oneCell">
    <xdr:from>
      <xdr:col>4</xdr:col>
      <xdr:colOff>600075</xdr:colOff>
      <xdr:row>5</xdr:row>
      <xdr:rowOff>118425</xdr:rowOff>
    </xdr:from>
    <xdr:to>
      <xdr:col>15</xdr:col>
      <xdr:colOff>38099</xdr:colOff>
      <xdr:row>6</xdr:row>
      <xdr:rowOff>190037</xdr:rowOff>
    </xdr:to>
    <xdr:pic>
      <xdr:nvPicPr>
        <xdr:cNvPr id="16" name="图片 15">
          <a:extLst>
            <a:ext uri="{FF2B5EF4-FFF2-40B4-BE49-F238E27FC236}">
              <a16:creationId xmlns:a16="http://schemas.microsoft.com/office/drawing/2014/main" xmlns="" id="{2DC1A1FD-2E6D-E225-D1AD-2201245EEDEC}"/>
            </a:ext>
          </a:extLst>
        </xdr:cNvPr>
        <xdr:cNvPicPr>
          <a:picLocks noChangeAspect="1"/>
        </xdr:cNvPicPr>
      </xdr:nvPicPr>
      <xdr:blipFill>
        <a:blip xmlns:r="http://schemas.openxmlformats.org/officeDocument/2006/relationships" r:embed="rId4"/>
        <a:stretch>
          <a:fillRect/>
        </a:stretch>
      </xdr:blipFill>
      <xdr:spPr>
        <a:xfrm>
          <a:off x="5715000" y="1385250"/>
          <a:ext cx="7715249" cy="243062"/>
        </a:xfrm>
        <a:prstGeom prst="rect">
          <a:avLst/>
        </a:prstGeom>
      </xdr:spPr>
    </xdr:pic>
    <xdr:clientData/>
  </xdr:twoCellAnchor>
  <xdr:twoCellAnchor editAs="oneCell">
    <xdr:from>
      <xdr:col>14</xdr:col>
      <xdr:colOff>152401</xdr:colOff>
      <xdr:row>6</xdr:row>
      <xdr:rowOff>200025</xdr:rowOff>
    </xdr:from>
    <xdr:to>
      <xdr:col>18</xdr:col>
      <xdr:colOff>476251</xdr:colOff>
      <xdr:row>9</xdr:row>
      <xdr:rowOff>29896</xdr:rowOff>
    </xdr:to>
    <xdr:pic>
      <xdr:nvPicPr>
        <xdr:cNvPr id="18" name="图片 17">
          <a:extLst>
            <a:ext uri="{FF2B5EF4-FFF2-40B4-BE49-F238E27FC236}">
              <a16:creationId xmlns:a16="http://schemas.microsoft.com/office/drawing/2014/main" xmlns="" id="{CD02590D-5410-BFB6-8FBC-5B18FF22CDB2}"/>
            </a:ext>
          </a:extLst>
        </xdr:cNvPr>
        <xdr:cNvPicPr>
          <a:picLocks noChangeAspect="1"/>
        </xdr:cNvPicPr>
      </xdr:nvPicPr>
      <xdr:blipFill>
        <a:blip xmlns:r="http://schemas.openxmlformats.org/officeDocument/2006/relationships" r:embed="rId5"/>
        <a:stretch>
          <a:fillRect/>
        </a:stretch>
      </xdr:blipFill>
      <xdr:spPr>
        <a:xfrm>
          <a:off x="12858751" y="1638300"/>
          <a:ext cx="3562350" cy="725221"/>
        </a:xfrm>
        <a:prstGeom prst="rect">
          <a:avLst/>
        </a:prstGeom>
      </xdr:spPr>
    </xdr:pic>
    <xdr:clientData/>
  </xdr:twoCellAnchor>
  <xdr:twoCellAnchor editAs="oneCell">
    <xdr:from>
      <xdr:col>15</xdr:col>
      <xdr:colOff>57151</xdr:colOff>
      <xdr:row>5</xdr:row>
      <xdr:rowOff>145798</xdr:rowOff>
    </xdr:from>
    <xdr:to>
      <xdr:col>18</xdr:col>
      <xdr:colOff>476251</xdr:colOff>
      <xdr:row>6</xdr:row>
      <xdr:rowOff>180944</xdr:rowOff>
    </xdr:to>
    <xdr:pic>
      <xdr:nvPicPr>
        <xdr:cNvPr id="19" name="图片 18">
          <a:extLst>
            <a:ext uri="{FF2B5EF4-FFF2-40B4-BE49-F238E27FC236}">
              <a16:creationId xmlns:a16="http://schemas.microsoft.com/office/drawing/2014/main" xmlns="" id="{3987E50A-2C82-ABD3-D1AE-DD661750C945}"/>
            </a:ext>
          </a:extLst>
        </xdr:cNvPr>
        <xdr:cNvPicPr>
          <a:picLocks noChangeAspect="1"/>
        </xdr:cNvPicPr>
      </xdr:nvPicPr>
      <xdr:blipFill>
        <a:blip xmlns:r="http://schemas.openxmlformats.org/officeDocument/2006/relationships" r:embed="rId6"/>
        <a:stretch>
          <a:fillRect/>
        </a:stretch>
      </xdr:blipFill>
      <xdr:spPr>
        <a:xfrm>
          <a:off x="13449301" y="1412623"/>
          <a:ext cx="2971800" cy="206596"/>
        </a:xfrm>
        <a:prstGeom prst="rect">
          <a:avLst/>
        </a:prstGeom>
      </xdr:spPr>
    </xdr:pic>
    <xdr:clientData/>
  </xdr:twoCellAnchor>
  <xdr:twoCellAnchor editAs="oneCell">
    <xdr:from>
      <xdr:col>5</xdr:col>
      <xdr:colOff>200026</xdr:colOff>
      <xdr:row>9</xdr:row>
      <xdr:rowOff>22180</xdr:rowOff>
    </xdr:from>
    <xdr:to>
      <xdr:col>15</xdr:col>
      <xdr:colOff>152401</xdr:colOff>
      <xdr:row>13</xdr:row>
      <xdr:rowOff>74771</xdr:rowOff>
    </xdr:to>
    <xdr:pic>
      <xdr:nvPicPr>
        <xdr:cNvPr id="20" name="图片 19">
          <a:extLst>
            <a:ext uri="{FF2B5EF4-FFF2-40B4-BE49-F238E27FC236}">
              <a16:creationId xmlns:a16="http://schemas.microsoft.com/office/drawing/2014/main" xmlns="" id="{C3EC5460-CC82-694F-C493-8D353628A3AB}"/>
            </a:ext>
          </a:extLst>
        </xdr:cNvPr>
        <xdr:cNvPicPr>
          <a:picLocks noChangeAspect="1"/>
        </xdr:cNvPicPr>
      </xdr:nvPicPr>
      <xdr:blipFill>
        <a:blip xmlns:r="http://schemas.openxmlformats.org/officeDocument/2006/relationships" r:embed="rId7"/>
        <a:stretch>
          <a:fillRect/>
        </a:stretch>
      </xdr:blipFill>
      <xdr:spPr>
        <a:xfrm>
          <a:off x="6038851" y="2355805"/>
          <a:ext cx="7505700" cy="738391"/>
        </a:xfrm>
        <a:prstGeom prst="rect">
          <a:avLst/>
        </a:prstGeom>
      </xdr:spPr>
    </xdr:pic>
    <xdr:clientData/>
  </xdr:twoCellAnchor>
  <xdr:twoCellAnchor editAs="oneCell">
    <xdr:from>
      <xdr:col>15</xdr:col>
      <xdr:colOff>190500</xdr:colOff>
      <xdr:row>8</xdr:row>
      <xdr:rowOff>142874</xdr:rowOff>
    </xdr:from>
    <xdr:to>
      <xdr:col>18</xdr:col>
      <xdr:colOff>520868</xdr:colOff>
      <xdr:row>13</xdr:row>
      <xdr:rowOff>57149</xdr:rowOff>
    </xdr:to>
    <xdr:pic>
      <xdr:nvPicPr>
        <xdr:cNvPr id="21" name="图片 20">
          <a:extLst>
            <a:ext uri="{FF2B5EF4-FFF2-40B4-BE49-F238E27FC236}">
              <a16:creationId xmlns:a16="http://schemas.microsoft.com/office/drawing/2014/main" xmlns="" id="{6D986C43-9EDB-0BE1-98AE-1C1BCED4D327}"/>
            </a:ext>
          </a:extLst>
        </xdr:cNvPr>
        <xdr:cNvPicPr>
          <a:picLocks noChangeAspect="1"/>
        </xdr:cNvPicPr>
      </xdr:nvPicPr>
      <xdr:blipFill>
        <a:blip xmlns:r="http://schemas.openxmlformats.org/officeDocument/2006/relationships" r:embed="rId8"/>
        <a:stretch>
          <a:fillRect/>
        </a:stretch>
      </xdr:blipFill>
      <xdr:spPr>
        <a:xfrm>
          <a:off x="13582650" y="2305049"/>
          <a:ext cx="2883068" cy="771525"/>
        </a:xfrm>
        <a:prstGeom prst="rect">
          <a:avLst/>
        </a:prstGeom>
      </xdr:spPr>
    </xdr:pic>
    <xdr:clientData/>
  </xdr:twoCellAnchor>
  <xdr:twoCellAnchor editAs="oneCell">
    <xdr:from>
      <xdr:col>29</xdr:col>
      <xdr:colOff>304800</xdr:colOff>
      <xdr:row>1</xdr:row>
      <xdr:rowOff>85725</xdr:rowOff>
    </xdr:from>
    <xdr:to>
      <xdr:col>33</xdr:col>
      <xdr:colOff>18743</xdr:colOff>
      <xdr:row>11</xdr:row>
      <xdr:rowOff>85412</xdr:rowOff>
    </xdr:to>
    <xdr:pic>
      <xdr:nvPicPr>
        <xdr:cNvPr id="22" name="图片 21">
          <a:extLst>
            <a:ext uri="{FF2B5EF4-FFF2-40B4-BE49-F238E27FC236}">
              <a16:creationId xmlns:a16="http://schemas.microsoft.com/office/drawing/2014/main" xmlns="" id="{31776423-D5D4-AED2-74BB-F2C4E14BC412}"/>
            </a:ext>
          </a:extLst>
        </xdr:cNvPr>
        <xdr:cNvPicPr>
          <a:picLocks noChangeAspect="1"/>
        </xdr:cNvPicPr>
      </xdr:nvPicPr>
      <xdr:blipFill>
        <a:blip xmlns:r="http://schemas.openxmlformats.org/officeDocument/2006/relationships" r:embed="rId9"/>
        <a:stretch>
          <a:fillRect/>
        </a:stretch>
      </xdr:blipFill>
      <xdr:spPr>
        <a:xfrm>
          <a:off x="24145875" y="257175"/>
          <a:ext cx="2457143" cy="2504762"/>
        </a:xfrm>
        <a:prstGeom prst="rect">
          <a:avLst/>
        </a:prstGeom>
      </xdr:spPr>
    </xdr:pic>
    <xdr:clientData/>
  </xdr:twoCellAnchor>
  <xdr:twoCellAnchor editAs="oneCell">
    <xdr:from>
      <xdr:col>33</xdr:col>
      <xdr:colOff>280171</xdr:colOff>
      <xdr:row>0</xdr:row>
      <xdr:rowOff>142874</xdr:rowOff>
    </xdr:from>
    <xdr:to>
      <xdr:col>38</xdr:col>
      <xdr:colOff>352881</xdr:colOff>
      <xdr:row>9</xdr:row>
      <xdr:rowOff>57150</xdr:rowOff>
    </xdr:to>
    <xdr:pic>
      <xdr:nvPicPr>
        <xdr:cNvPr id="23" name="图片 22">
          <a:extLst>
            <a:ext uri="{FF2B5EF4-FFF2-40B4-BE49-F238E27FC236}">
              <a16:creationId xmlns:a16="http://schemas.microsoft.com/office/drawing/2014/main" xmlns="" id="{6B28E8FA-5532-3D37-FC95-E7AEFB5FAD99}"/>
            </a:ext>
          </a:extLst>
        </xdr:cNvPr>
        <xdr:cNvPicPr>
          <a:picLocks noChangeAspect="1"/>
        </xdr:cNvPicPr>
      </xdr:nvPicPr>
      <xdr:blipFill>
        <a:blip xmlns:r="http://schemas.openxmlformats.org/officeDocument/2006/relationships" r:embed="rId10"/>
        <a:stretch>
          <a:fillRect/>
        </a:stretch>
      </xdr:blipFill>
      <xdr:spPr>
        <a:xfrm>
          <a:off x="26864446" y="142874"/>
          <a:ext cx="3501710" cy="2247901"/>
        </a:xfrm>
        <a:prstGeom prst="rect">
          <a:avLst/>
        </a:prstGeom>
      </xdr:spPr>
    </xdr:pic>
    <xdr:clientData/>
  </xdr:twoCellAnchor>
  <xdr:twoCellAnchor editAs="oneCell">
    <xdr:from>
      <xdr:col>33</xdr:col>
      <xdr:colOff>304799</xdr:colOff>
      <xdr:row>10</xdr:row>
      <xdr:rowOff>78099</xdr:rowOff>
    </xdr:from>
    <xdr:to>
      <xdr:col>38</xdr:col>
      <xdr:colOff>85724</xdr:colOff>
      <xdr:row>20</xdr:row>
      <xdr:rowOff>95517</xdr:rowOff>
    </xdr:to>
    <xdr:pic>
      <xdr:nvPicPr>
        <xdr:cNvPr id="25" name="图片 24">
          <a:extLst>
            <a:ext uri="{FF2B5EF4-FFF2-40B4-BE49-F238E27FC236}">
              <a16:creationId xmlns:a16="http://schemas.microsoft.com/office/drawing/2014/main" xmlns="" id="{F7289635-3929-4746-E2B3-9EFE1825CC8D}"/>
            </a:ext>
          </a:extLst>
        </xdr:cNvPr>
        <xdr:cNvPicPr>
          <a:picLocks noChangeAspect="1"/>
        </xdr:cNvPicPr>
      </xdr:nvPicPr>
      <xdr:blipFill>
        <a:blip xmlns:r="http://schemas.openxmlformats.org/officeDocument/2006/relationships" r:embed="rId11"/>
        <a:stretch>
          <a:fillRect/>
        </a:stretch>
      </xdr:blipFill>
      <xdr:spPr>
        <a:xfrm>
          <a:off x="26889074" y="2583174"/>
          <a:ext cx="3209925" cy="2732043"/>
        </a:xfrm>
        <a:prstGeom prst="rect">
          <a:avLst/>
        </a:prstGeom>
      </xdr:spPr>
    </xdr:pic>
    <xdr:clientData/>
  </xdr:twoCellAnchor>
  <xdr:twoCellAnchor editAs="oneCell">
    <xdr:from>
      <xdr:col>20</xdr:col>
      <xdr:colOff>772896</xdr:colOff>
      <xdr:row>13</xdr:row>
      <xdr:rowOff>285750</xdr:rowOff>
    </xdr:from>
    <xdr:to>
      <xdr:col>27</xdr:col>
      <xdr:colOff>200025</xdr:colOff>
      <xdr:row>24</xdr:row>
      <xdr:rowOff>188143</xdr:rowOff>
    </xdr:to>
    <xdr:pic>
      <xdr:nvPicPr>
        <xdr:cNvPr id="26" name="图片 25">
          <a:extLst>
            <a:ext uri="{FF2B5EF4-FFF2-40B4-BE49-F238E27FC236}">
              <a16:creationId xmlns:a16="http://schemas.microsoft.com/office/drawing/2014/main" xmlns="" id="{B0436373-103E-8A56-231B-19335C84216B}"/>
            </a:ext>
          </a:extLst>
        </xdr:cNvPr>
        <xdr:cNvPicPr>
          <a:picLocks noChangeAspect="1"/>
        </xdr:cNvPicPr>
      </xdr:nvPicPr>
      <xdr:blipFill>
        <a:blip xmlns:r="http://schemas.openxmlformats.org/officeDocument/2006/relationships" r:embed="rId12"/>
        <a:stretch>
          <a:fillRect/>
        </a:stretch>
      </xdr:blipFill>
      <xdr:spPr>
        <a:xfrm>
          <a:off x="18241746" y="3305175"/>
          <a:ext cx="4427754" cy="3359968"/>
        </a:xfrm>
        <a:prstGeom prst="rect">
          <a:avLst/>
        </a:prstGeom>
      </xdr:spPr>
    </xdr:pic>
    <xdr:clientData/>
  </xdr:twoCellAnchor>
  <xdr:twoCellAnchor editAs="oneCell">
    <xdr:from>
      <xdr:col>21</xdr:col>
      <xdr:colOff>85725</xdr:colOff>
      <xdr:row>24</xdr:row>
      <xdr:rowOff>69715</xdr:rowOff>
    </xdr:from>
    <xdr:to>
      <xdr:col>27</xdr:col>
      <xdr:colOff>257010</xdr:colOff>
      <xdr:row>30</xdr:row>
      <xdr:rowOff>219075</xdr:rowOff>
    </xdr:to>
    <xdr:pic>
      <xdr:nvPicPr>
        <xdr:cNvPr id="27" name="图片 26">
          <a:extLst>
            <a:ext uri="{FF2B5EF4-FFF2-40B4-BE49-F238E27FC236}">
              <a16:creationId xmlns:a16="http://schemas.microsoft.com/office/drawing/2014/main" xmlns="" id="{09859C67-07DE-572F-59D9-0B98BA00E6BD}"/>
            </a:ext>
          </a:extLst>
        </xdr:cNvPr>
        <xdr:cNvPicPr>
          <a:picLocks noChangeAspect="1"/>
        </xdr:cNvPicPr>
      </xdr:nvPicPr>
      <xdr:blipFill>
        <a:blip xmlns:r="http://schemas.openxmlformats.org/officeDocument/2006/relationships" r:embed="rId13"/>
        <a:stretch>
          <a:fillRect/>
        </a:stretch>
      </xdr:blipFill>
      <xdr:spPr>
        <a:xfrm>
          <a:off x="18354675" y="6546715"/>
          <a:ext cx="4371810" cy="2035310"/>
        </a:xfrm>
        <a:prstGeom prst="rect">
          <a:avLst/>
        </a:prstGeom>
      </xdr:spPr>
    </xdr:pic>
    <xdr:clientData/>
  </xdr:twoCellAnchor>
  <xdr:twoCellAnchor editAs="oneCell">
    <xdr:from>
      <xdr:col>21</xdr:col>
      <xdr:colOff>123825</xdr:colOff>
      <xdr:row>30</xdr:row>
      <xdr:rowOff>285749</xdr:rowOff>
    </xdr:from>
    <xdr:to>
      <xdr:col>28</xdr:col>
      <xdr:colOff>53043</xdr:colOff>
      <xdr:row>39</xdr:row>
      <xdr:rowOff>50129</xdr:rowOff>
    </xdr:to>
    <xdr:pic>
      <xdr:nvPicPr>
        <xdr:cNvPr id="28" name="图片 27">
          <a:extLst>
            <a:ext uri="{FF2B5EF4-FFF2-40B4-BE49-F238E27FC236}">
              <a16:creationId xmlns:a16="http://schemas.microsoft.com/office/drawing/2014/main" xmlns="" id="{30C4B69D-5352-9CB9-F5A1-BFCA41148D34}"/>
            </a:ext>
          </a:extLst>
        </xdr:cNvPr>
        <xdr:cNvPicPr>
          <a:picLocks noChangeAspect="1"/>
        </xdr:cNvPicPr>
      </xdr:nvPicPr>
      <xdr:blipFill>
        <a:blip xmlns:r="http://schemas.openxmlformats.org/officeDocument/2006/relationships" r:embed="rId14"/>
        <a:stretch>
          <a:fillRect/>
        </a:stretch>
      </xdr:blipFill>
      <xdr:spPr>
        <a:xfrm>
          <a:off x="18392775" y="8648699"/>
          <a:ext cx="4815543" cy="2307555"/>
        </a:xfrm>
        <a:prstGeom prst="rect">
          <a:avLst/>
        </a:prstGeom>
      </xdr:spPr>
    </xdr:pic>
    <xdr:clientData/>
  </xdr:twoCellAnchor>
  <xdr:twoCellAnchor editAs="oneCell">
    <xdr:from>
      <xdr:col>4</xdr:col>
      <xdr:colOff>561976</xdr:colOff>
      <xdr:row>13</xdr:row>
      <xdr:rowOff>114300</xdr:rowOff>
    </xdr:from>
    <xdr:to>
      <xdr:col>14</xdr:col>
      <xdr:colOff>123825</xdr:colOff>
      <xdr:row>15</xdr:row>
      <xdr:rowOff>150904</xdr:rowOff>
    </xdr:to>
    <xdr:pic>
      <xdr:nvPicPr>
        <xdr:cNvPr id="29" name="图片 28">
          <a:extLst>
            <a:ext uri="{FF2B5EF4-FFF2-40B4-BE49-F238E27FC236}">
              <a16:creationId xmlns:a16="http://schemas.microsoft.com/office/drawing/2014/main" xmlns="" id="{2BC0E737-9B1A-1A03-7836-63C39F00DBD0}"/>
            </a:ext>
          </a:extLst>
        </xdr:cNvPr>
        <xdr:cNvPicPr>
          <a:picLocks noChangeAspect="1"/>
        </xdr:cNvPicPr>
      </xdr:nvPicPr>
      <xdr:blipFill>
        <a:blip xmlns:r="http://schemas.openxmlformats.org/officeDocument/2006/relationships" r:embed="rId15"/>
        <a:stretch>
          <a:fillRect/>
        </a:stretch>
      </xdr:blipFill>
      <xdr:spPr>
        <a:xfrm>
          <a:off x="5676901" y="3133725"/>
          <a:ext cx="7153274" cy="665254"/>
        </a:xfrm>
        <a:prstGeom prst="rect">
          <a:avLst/>
        </a:prstGeom>
      </xdr:spPr>
    </xdr:pic>
    <xdr:clientData/>
  </xdr:twoCellAnchor>
  <xdr:twoCellAnchor editAs="oneCell">
    <xdr:from>
      <xdr:col>15</xdr:col>
      <xdr:colOff>76199</xdr:colOff>
      <xdr:row>13</xdr:row>
      <xdr:rowOff>47625</xdr:rowOff>
    </xdr:from>
    <xdr:to>
      <xdr:col>18</xdr:col>
      <xdr:colOff>425254</xdr:colOff>
      <xdr:row>15</xdr:row>
      <xdr:rowOff>180974</xdr:rowOff>
    </xdr:to>
    <xdr:pic>
      <xdr:nvPicPr>
        <xdr:cNvPr id="30" name="图片 29">
          <a:extLst>
            <a:ext uri="{FF2B5EF4-FFF2-40B4-BE49-F238E27FC236}">
              <a16:creationId xmlns:a16="http://schemas.microsoft.com/office/drawing/2014/main" xmlns="" id="{39A7F799-5DCE-BA37-26B9-E24710811485}"/>
            </a:ext>
          </a:extLst>
        </xdr:cNvPr>
        <xdr:cNvPicPr>
          <a:picLocks noChangeAspect="1"/>
        </xdr:cNvPicPr>
      </xdr:nvPicPr>
      <xdr:blipFill>
        <a:blip xmlns:r="http://schemas.openxmlformats.org/officeDocument/2006/relationships" r:embed="rId16"/>
        <a:stretch>
          <a:fillRect/>
        </a:stretch>
      </xdr:blipFill>
      <xdr:spPr>
        <a:xfrm>
          <a:off x="13468349" y="3067050"/>
          <a:ext cx="2901755" cy="761999"/>
        </a:xfrm>
        <a:prstGeom prst="rect">
          <a:avLst/>
        </a:prstGeom>
      </xdr:spPr>
    </xdr:pic>
    <xdr:clientData/>
  </xdr:twoCellAnchor>
  <xdr:twoCellAnchor editAs="oneCell">
    <xdr:from>
      <xdr:col>0</xdr:col>
      <xdr:colOff>0</xdr:colOff>
      <xdr:row>4</xdr:row>
      <xdr:rowOff>133350</xdr:rowOff>
    </xdr:from>
    <xdr:to>
      <xdr:col>4</xdr:col>
      <xdr:colOff>142875</xdr:colOff>
      <xdr:row>22</xdr:row>
      <xdr:rowOff>165751</xdr:rowOff>
    </xdr:to>
    <xdr:pic>
      <xdr:nvPicPr>
        <xdr:cNvPr id="31" name="图片 30">
          <a:extLst>
            <a:ext uri="{FF2B5EF4-FFF2-40B4-BE49-F238E27FC236}">
              <a16:creationId xmlns:a16="http://schemas.microsoft.com/office/drawing/2014/main" xmlns="" id="{A0B95C25-7073-8CB1-1B39-02FAAD588AE4}"/>
            </a:ext>
          </a:extLst>
        </xdr:cNvPr>
        <xdr:cNvPicPr>
          <a:picLocks noChangeAspect="1"/>
        </xdr:cNvPicPr>
      </xdr:nvPicPr>
      <xdr:blipFill>
        <a:blip xmlns:r="http://schemas.openxmlformats.org/officeDocument/2006/relationships" r:embed="rId17"/>
        <a:stretch>
          <a:fillRect/>
        </a:stretch>
      </xdr:blipFill>
      <xdr:spPr>
        <a:xfrm>
          <a:off x="0" y="1228725"/>
          <a:ext cx="5257800" cy="4785376"/>
        </a:xfrm>
        <a:prstGeom prst="rect">
          <a:avLst/>
        </a:prstGeom>
      </xdr:spPr>
    </xdr:pic>
    <xdr:clientData/>
  </xdr:twoCellAnchor>
  <xdr:twoCellAnchor editAs="oneCell">
    <xdr:from>
      <xdr:col>38</xdr:col>
      <xdr:colOff>536381</xdr:colOff>
      <xdr:row>2</xdr:row>
      <xdr:rowOff>28575</xdr:rowOff>
    </xdr:from>
    <xdr:to>
      <xdr:col>43</xdr:col>
      <xdr:colOff>511020</xdr:colOff>
      <xdr:row>14</xdr:row>
      <xdr:rowOff>66675</xdr:rowOff>
    </xdr:to>
    <xdr:pic>
      <xdr:nvPicPr>
        <xdr:cNvPr id="32" name="图片 31">
          <a:extLst>
            <a:ext uri="{FF2B5EF4-FFF2-40B4-BE49-F238E27FC236}">
              <a16:creationId xmlns:a16="http://schemas.microsoft.com/office/drawing/2014/main" xmlns="" id="{6B68D4A4-FD40-49D7-90DB-504C6FE8A4CE}"/>
            </a:ext>
          </a:extLst>
        </xdr:cNvPr>
        <xdr:cNvPicPr>
          <a:picLocks noChangeAspect="1"/>
        </xdr:cNvPicPr>
      </xdr:nvPicPr>
      <xdr:blipFill>
        <a:blip xmlns:r="http://schemas.openxmlformats.org/officeDocument/2006/relationships" r:embed="rId18"/>
        <a:stretch>
          <a:fillRect/>
        </a:stretch>
      </xdr:blipFill>
      <xdr:spPr>
        <a:xfrm>
          <a:off x="30549656" y="514350"/>
          <a:ext cx="3403639" cy="2886075"/>
        </a:xfrm>
        <a:prstGeom prst="rect">
          <a:avLst/>
        </a:prstGeom>
      </xdr:spPr>
    </xdr:pic>
    <xdr:clientData/>
  </xdr:twoCellAnchor>
  <xdr:twoCellAnchor editAs="oneCell">
    <xdr:from>
      <xdr:col>0</xdr:col>
      <xdr:colOff>200025</xdr:colOff>
      <xdr:row>25</xdr:row>
      <xdr:rowOff>47625</xdr:rowOff>
    </xdr:from>
    <xdr:to>
      <xdr:col>4</xdr:col>
      <xdr:colOff>411155</xdr:colOff>
      <xdr:row>45</xdr:row>
      <xdr:rowOff>103844</xdr:rowOff>
    </xdr:to>
    <xdr:pic>
      <xdr:nvPicPr>
        <xdr:cNvPr id="2" name="图片 1">
          <a:extLst>
            <a:ext uri="{FF2B5EF4-FFF2-40B4-BE49-F238E27FC236}">
              <a16:creationId xmlns:a16="http://schemas.microsoft.com/office/drawing/2014/main" xmlns="" id="{27B60094-4941-7009-C406-053AA9B4907C}"/>
            </a:ext>
          </a:extLst>
        </xdr:cNvPr>
        <xdr:cNvPicPr>
          <a:picLocks noChangeAspect="1"/>
        </xdr:cNvPicPr>
      </xdr:nvPicPr>
      <xdr:blipFill>
        <a:blip xmlns:r="http://schemas.openxmlformats.org/officeDocument/2006/relationships" r:embed="rId19"/>
        <a:stretch>
          <a:fillRect/>
        </a:stretch>
      </xdr:blipFill>
      <xdr:spPr>
        <a:xfrm>
          <a:off x="200025" y="6838950"/>
          <a:ext cx="5326055" cy="5199719"/>
        </a:xfrm>
        <a:prstGeom prst="rect">
          <a:avLst/>
        </a:prstGeom>
      </xdr:spPr>
    </xdr:pic>
    <xdr:clientData/>
  </xdr:twoCellAnchor>
  <xdr:twoCellAnchor editAs="oneCell">
    <xdr:from>
      <xdr:col>0</xdr:col>
      <xdr:colOff>104775</xdr:colOff>
      <xdr:row>44</xdr:row>
      <xdr:rowOff>152399</xdr:rowOff>
    </xdr:from>
    <xdr:to>
      <xdr:col>4</xdr:col>
      <xdr:colOff>396192</xdr:colOff>
      <xdr:row>76</xdr:row>
      <xdr:rowOff>113350</xdr:rowOff>
    </xdr:to>
    <xdr:pic>
      <xdr:nvPicPr>
        <xdr:cNvPr id="3" name="图片 2">
          <a:extLst>
            <a:ext uri="{FF2B5EF4-FFF2-40B4-BE49-F238E27FC236}">
              <a16:creationId xmlns:a16="http://schemas.microsoft.com/office/drawing/2014/main" xmlns="" id="{8F9CDCC0-6F40-0F59-FC43-8260362364F9}"/>
            </a:ext>
          </a:extLst>
        </xdr:cNvPr>
        <xdr:cNvPicPr>
          <a:picLocks noChangeAspect="1"/>
        </xdr:cNvPicPr>
      </xdr:nvPicPr>
      <xdr:blipFill>
        <a:blip xmlns:r="http://schemas.openxmlformats.org/officeDocument/2006/relationships" r:embed="rId20"/>
        <a:stretch>
          <a:fillRect/>
        </a:stretch>
      </xdr:blipFill>
      <xdr:spPr>
        <a:xfrm>
          <a:off x="104775" y="11915774"/>
          <a:ext cx="5406342" cy="5447351"/>
        </a:xfrm>
        <a:prstGeom prst="rect">
          <a:avLst/>
        </a:prstGeom>
      </xdr:spPr>
    </xdr:pic>
    <xdr:clientData/>
  </xdr:twoCellAnchor>
  <xdr:twoCellAnchor editAs="oneCell">
    <xdr:from>
      <xdr:col>5</xdr:col>
      <xdr:colOff>161926</xdr:colOff>
      <xdr:row>16</xdr:row>
      <xdr:rowOff>76200</xdr:rowOff>
    </xdr:from>
    <xdr:to>
      <xdr:col>12</xdr:col>
      <xdr:colOff>257176</xdr:colOff>
      <xdr:row>25</xdr:row>
      <xdr:rowOff>289780</xdr:rowOff>
    </xdr:to>
    <xdr:pic>
      <xdr:nvPicPr>
        <xdr:cNvPr id="4" name="图片 3">
          <a:extLst>
            <a:ext uri="{FF2B5EF4-FFF2-40B4-BE49-F238E27FC236}">
              <a16:creationId xmlns:a16="http://schemas.microsoft.com/office/drawing/2014/main" xmlns="" id="{81ADC75D-A888-6DA2-413E-843A681AFD26}"/>
            </a:ext>
          </a:extLst>
        </xdr:cNvPr>
        <xdr:cNvPicPr>
          <a:picLocks noChangeAspect="1"/>
        </xdr:cNvPicPr>
      </xdr:nvPicPr>
      <xdr:blipFill>
        <a:blip xmlns:r="http://schemas.openxmlformats.org/officeDocument/2006/relationships" r:embed="rId21"/>
        <a:stretch>
          <a:fillRect/>
        </a:stretch>
      </xdr:blipFill>
      <xdr:spPr>
        <a:xfrm>
          <a:off x="6000751" y="4038600"/>
          <a:ext cx="5753100" cy="3042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估价对象为北京市房地产，为所有。根据《国有土地使用证》[]，估价对象（分摊）出让国有建设用地使用权面积为0平方米，建筑面积为81.66平方米。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估价对象为北京市房地产,属开发建设的，该项目尚在开发建设中。根据《国有土地使用证》[]，估价对象（分摊）出让国有建设用地使用权面积为0平方米，规划建筑面积为81.66平方米。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2024年5月23日（评估专业人员实地查勘之日）</v>
      </c>
    </row>
    <row r="13" spans="1:2">
      <c r="A13" s="1117" t="s">
        <v>529</v>
      </c>
      <c r="B13" s="1118"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81.66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2" t="s">
        <v>2578</v>
      </c>
      <c r="J2" s="3232"/>
      <c r="K2" s="3232"/>
      <c r="L2" s="3232"/>
      <c r="M2" s="3232"/>
      <c r="N2" s="3232"/>
      <c r="O2" s="3232"/>
      <c r="P2" s="3232"/>
      <c r="Q2" s="3232"/>
      <c r="R2" s="3232"/>
    </row>
    <row r="3" spans="1:18">
      <c r="A3" s="2756" t="s">
        <v>2499</v>
      </c>
      <c r="B3" s="2757">
        <f>项目基本情况!D3</f>
        <v>45435</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2.57</v>
      </c>
      <c r="D5" s="2761">
        <f>IF(ISERROR(ROUND(POWER(1+E5,A5-C5)*(POWER(1+E5,C5)-1)/(POWER(1+E5,A5)-1),3)),0,ROUND(POWER(1+E5,A5-C5)*(POWER(1+E5,C5)-1)/(POWER(1+E5,A5)-1),4))</f>
        <v>0.1211</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12.58</v>
      </c>
      <c r="D6" s="2761">
        <f>IF(ISERROR(ROUND(POWER(1+E6,A6-C6)*(POWER(1+E6,C6)-1)/(POWER(1+E6,A6)-1),3)),0,ROUND(POWER(1+E6,A6-C6)*(POWER(1+E6,C6)-1)/(POWER(1+E6,A6)-1),4))</f>
        <v>0.45319999999999999</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32.590000000000003</v>
      </c>
      <c r="D7" s="2761">
        <f>IF(ISERROR(ROUND(POWER(1+E7,A7-C7)*(POWER(1+E7,C7)-1)/(POWER(1+E7,A7)-1),3)),0,ROUND(POWER(1+E7,A7-C7)*(POWER(1+E7,C7)-1)/(POWER(1+E7,A7)-1),4))</f>
        <v>0.77100000000000002</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40" t="str">
        <f>IF(B10="北京市","北京市",C10)&amp;F10&amp;IF(结果表!G1="在建","出让国有建设用地使用权及在建建筑物",IF(结果表!G1="土地","出让国有建设用地使用权",))&amp;B9&amp;"预评估"</f>
        <v>北京市预评估</v>
      </c>
      <c r="C1" s="3241"/>
      <c r="D1" s="3241"/>
      <c r="E1" s="3241"/>
      <c r="F1" s="3241"/>
      <c r="G1" s="3241"/>
      <c r="H1" s="3241"/>
      <c r="I1" s="3242"/>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45435</v>
      </c>
      <c r="C3" s="2181" t="s">
        <v>2168</v>
      </c>
      <c r="D3" s="2180">
        <f>B3</f>
        <v>45435</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43" t="s">
        <v>2174</v>
      </c>
      <c r="E8" s="2197"/>
      <c r="F8" s="2198"/>
      <c r="G8" s="2436"/>
      <c r="H8" s="2436"/>
      <c r="I8" s="2436"/>
      <c r="J8" s="2240"/>
      <c r="K8" s="2394"/>
      <c r="L8" s="2393"/>
      <c r="M8" s="2393"/>
      <c r="N8" s="2240"/>
      <c r="O8" s="1668"/>
      <c r="P8" s="2240"/>
      <c r="Q8" s="2240"/>
      <c r="R8" s="2240"/>
    </row>
    <row r="9" spans="1:30" ht="13.5" thickBot="1">
      <c r="A9" s="2199" t="s">
        <v>2175</v>
      </c>
      <c r="B9" s="2200"/>
      <c r="C9" s="2201"/>
      <c r="D9" s="3244"/>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62988</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48.09</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50"/>
      <c r="C16" s="3251"/>
      <c r="D16" s="3252"/>
      <c r="E16" s="2217" t="s">
        <v>2191</v>
      </c>
      <c r="F16" s="3253"/>
      <c r="G16" s="3254"/>
      <c r="H16" s="3254"/>
      <c r="I16" s="3255"/>
      <c r="J16" s="2240"/>
      <c r="K16" s="2397"/>
      <c r="L16" s="1668"/>
      <c r="M16" s="1668"/>
      <c r="N16" s="2240"/>
      <c r="O16" s="1668"/>
      <c r="P16" s="2240"/>
      <c r="Q16" s="2240"/>
      <c r="R16" s="2240"/>
    </row>
    <row r="17" spans="1:28">
      <c r="A17" s="304" t="s">
        <v>2192</v>
      </c>
      <c r="B17" s="293" t="s">
        <v>2193</v>
      </c>
      <c r="C17" s="8">
        <f>'数据-汇总表'!E3</f>
        <v>81.66</v>
      </c>
      <c r="D17" s="1254" t="s">
        <v>2194</v>
      </c>
      <c r="E17" s="3256" t="s">
        <v>2195</v>
      </c>
      <c r="F17" s="3257"/>
      <c r="G17" s="3257"/>
      <c r="H17" s="3257"/>
      <c r="I17" s="3258"/>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9" t="s">
        <v>2199</v>
      </c>
      <c r="F18" s="3260"/>
      <c r="G18" s="3260"/>
      <c r="H18" s="3260"/>
      <c r="I18" s="3261"/>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6" t="s">
        <v>2203</v>
      </c>
      <c r="C20" s="3247"/>
      <c r="D20" s="3248" t="s">
        <v>2204</v>
      </c>
      <c r="E20" s="3249"/>
      <c r="F20" s="2424" t="s">
        <v>1056</v>
      </c>
      <c r="G20" s="2436"/>
      <c r="H20" s="2436"/>
      <c r="I20" s="2436"/>
      <c r="J20" s="2240"/>
      <c r="K20" s="3245"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4"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4"/>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4"/>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5"/>
      <c r="B30" s="293" t="s">
        <v>2215</v>
      </c>
      <c r="C30" s="3236"/>
      <c r="D30" s="3237"/>
      <c r="E30" s="2436"/>
      <c r="F30" s="2436"/>
      <c r="G30" s="2436"/>
      <c r="H30" s="2436"/>
      <c r="I30" s="2436"/>
      <c r="J30" s="2240"/>
      <c r="K30" s="2396"/>
      <c r="L30" s="2393"/>
      <c r="M30" s="2393"/>
      <c r="N30" s="2240"/>
      <c r="O30" s="1668"/>
      <c r="P30" s="2240"/>
      <c r="Q30" s="2240"/>
      <c r="R30" s="2240"/>
      <c r="S30" s="2240"/>
      <c r="T30" s="2240"/>
      <c r="U30" s="2240"/>
      <c r="V30" s="2240"/>
    </row>
    <row r="31" spans="1:28">
      <c r="A31" s="3238"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9"/>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9"/>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33" t="s">
        <v>2225</v>
      </c>
      <c r="T34" s="314" t="str">
        <f>NUMBERSTRING(7-K34,1)&amp;"通"</f>
        <v>七通</v>
      </c>
      <c r="U34" s="2240"/>
      <c r="V34" s="2240"/>
    </row>
    <row r="35" spans="1:30">
      <c r="A35" s="2231"/>
      <c r="B35" s="3233" t="s">
        <v>2226</v>
      </c>
      <c r="C35" s="3233"/>
      <c r="D35" s="3233"/>
      <c r="E35" s="3233"/>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3"/>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81.66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81.66</v>
      </c>
      <c r="H5" s="13">
        <f t="shared" ref="H5:AT5" si="0">SUM(H13:H656)</f>
        <v>81.66</v>
      </c>
      <c r="I5" s="13">
        <f t="shared" si="0"/>
        <v>81.66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81.66</v>
      </c>
      <c r="BA5" s="15">
        <f t="shared" si="1"/>
        <v>81.66</v>
      </c>
      <c r="BB5" s="15">
        <f t="shared" si="1"/>
        <v>81.66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3467</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公寓</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81.66</v>
      </c>
      <c r="H13" s="17">
        <f>SUMIF(I$12:AB$12,"总值",I13:AB13)</f>
        <v>81.66</v>
      </c>
      <c r="I13" s="1512">
        <v>81.66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81.66</v>
      </c>
      <c r="BA13" s="13">
        <f>SUM(BB13:BK13)</f>
        <v>81.66</v>
      </c>
      <c r="BB13" s="13">
        <f>IF($D13="是",I13-J13,0)</f>
        <v>81.66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1" t="s">
        <v>1108</v>
      </c>
      <c r="F2" s="2433"/>
      <c r="G2" s="2426"/>
      <c r="H2" s="2427"/>
      <c r="I2" s="2141" t="s">
        <v>1132</v>
      </c>
      <c r="J2" s="2433"/>
      <c r="K2" s="2433"/>
      <c r="L2" s="2433"/>
      <c r="M2" s="2433"/>
      <c r="N2" s="2434"/>
      <c r="O2" s="2433"/>
      <c r="P2" s="2433"/>
    </row>
    <row r="3" spans="1:16" ht="15.75" thickBot="1">
      <c r="A3" s="3272" t="s">
        <v>1105</v>
      </c>
      <c r="B3" s="3272"/>
      <c r="C3" s="3272"/>
      <c r="D3" s="41">
        <f>'数据-基础表'!AY6</f>
        <v>0</v>
      </c>
      <c r="E3" s="41">
        <f>'数据-基础表'!AZ5</f>
        <v>81.66</v>
      </c>
      <c r="F3" s="2433"/>
      <c r="G3" s="42"/>
      <c r="H3" s="43" t="s">
        <v>1106</v>
      </c>
      <c r="I3" s="801" t="e">
        <f>ROUND('数据-基础表'!B3/'数据-基础表'!A3,2)</f>
        <v>#DIV/0!</v>
      </c>
      <c r="J3" s="2433"/>
      <c r="K3" s="2433"/>
      <c r="L3" s="2433"/>
      <c r="M3" s="2433"/>
      <c r="N3" s="2434"/>
      <c r="O3" s="2433"/>
      <c r="P3" s="2433"/>
    </row>
    <row r="4" spans="1:16" ht="15">
      <c r="A4" s="3273"/>
      <c r="B4" s="3274"/>
      <c r="C4" s="3275"/>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6" t="s">
        <v>1110</v>
      </c>
      <c r="C5" s="3276"/>
      <c r="D5" s="43">
        <f>ROUND($D$3*E5/$E$3,2)</f>
        <v>0</v>
      </c>
      <c r="E5" s="44">
        <f>SUMIF('数据-基础表'!$11:$11,"住宅",'数据-基础表'!$5:$5)</f>
        <v>81.66</v>
      </c>
      <c r="F5" s="2433"/>
      <c r="G5" s="42"/>
      <c r="H5" s="43" t="s">
        <v>1106</v>
      </c>
      <c r="I5" s="801" t="e">
        <f>ROUND(E31/D31,2)</f>
        <v>#DIV/0!</v>
      </c>
      <c r="J5" s="2433"/>
      <c r="K5" s="2433"/>
      <c r="L5" s="2433"/>
      <c r="M5" s="2433"/>
      <c r="N5" s="2433"/>
      <c r="O5" s="2433"/>
      <c r="P5" s="2433"/>
    </row>
    <row r="6" spans="1:16" ht="15" thickBot="1">
      <c r="A6" s="1525"/>
      <c r="B6" s="3276" t="s">
        <v>1111</v>
      </c>
      <c r="C6" s="3276"/>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8"/>
      <c r="B7" s="3269"/>
      <c r="C7" s="3270"/>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81.66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81.66</v>
      </c>
      <c r="F16" s="2433"/>
      <c r="G16" s="2433"/>
      <c r="H16" s="1529" t="s">
        <v>1135</v>
      </c>
      <c r="I16" s="1530"/>
      <c r="J16" s="1070"/>
      <c r="K16" s="3265" t="s">
        <v>1135</v>
      </c>
      <c r="L16" s="3266"/>
      <c r="M16" s="3266"/>
      <c r="N16" s="3266"/>
      <c r="O16" s="3266"/>
      <c r="P16" s="3267"/>
    </row>
    <row r="17" spans="1:19" ht="15">
      <c r="A17" s="1531" t="s">
        <v>1136</v>
      </c>
      <c r="B17" s="1532" t="s">
        <v>1137</v>
      </c>
      <c r="C17" s="1533" t="s">
        <v>1138</v>
      </c>
      <c r="D17" s="1534" t="s">
        <v>1126</v>
      </c>
      <c r="E17" s="1535" t="s">
        <v>1127</v>
      </c>
      <c r="F17" s="1536"/>
      <c r="G17" s="1537"/>
      <c r="H17" s="1538" t="s">
        <v>1139</v>
      </c>
      <c r="I17" s="1539" t="s">
        <v>1124</v>
      </c>
      <c r="J17" s="1070"/>
      <c r="K17" s="3262" t="s">
        <v>1140</v>
      </c>
      <c r="L17" s="3263"/>
      <c r="M17" s="3264"/>
      <c r="N17" s="3262" t="s">
        <v>1141</v>
      </c>
      <c r="O17" s="3263"/>
      <c r="P17" s="3264"/>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81.66</v>
      </c>
      <c r="F19" s="2552">
        <f>'数据-基础表'!I13</f>
        <v>81.66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81.66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81.66</v>
      </c>
      <c r="F27" s="1071">
        <f>IF(SUM(F19:F26)=E8,SUM(F19:F26),"地上面积有误")</f>
        <v>81.66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81.66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81.66</v>
      </c>
      <c r="F31" s="643">
        <f>F27+F30</f>
        <v>81.66</v>
      </c>
      <c r="G31" s="644">
        <f>G27+G30</f>
        <v>0</v>
      </c>
      <c r="H31" s="2433"/>
      <c r="I31" s="2433"/>
      <c r="J31" s="2433"/>
      <c r="K31" s="2433"/>
      <c r="L31" s="2433"/>
      <c r="M31" s="2433"/>
      <c r="N31" s="2433"/>
      <c r="O31" s="2433"/>
      <c r="P31" s="2433"/>
    </row>
    <row r="32" spans="1:19">
      <c r="A32" s="1524"/>
      <c r="B32" s="1524" t="s">
        <v>1159</v>
      </c>
      <c r="C32" s="1524"/>
      <c r="D32" s="1524"/>
      <c r="E32" s="989">
        <f>SUMIF(C19:C26,"*住宅*",E19:E26)</f>
        <v>81.66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45435</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62988</v>
      </c>
      <c r="F6" s="61">
        <f>SUMIF(项目基本情况!C$12:I$12,C6,项目基本情况!C$15:I$15)</f>
        <v>48.09</v>
      </c>
      <c r="G6" s="62">
        <f t="shared" ref="G6:G13" si="0">IF(ISERROR(ROUND(POWER(1+H6,D6-F6)*(POWER(1+H6,F6)-1)/(POWER(1+H6,D6)-1),3)),0,ROUND(POWER(1+H6,D6-F6)*(POWER(1+H6,F6)-1)/(POWER(1+H6,D6)-1),3))</f>
        <v>0.88900000000000001</v>
      </c>
      <c r="H6" s="690">
        <v>3.5000000000000003E-2</v>
      </c>
      <c r="I6" s="690">
        <v>4.4999999999999998E-2</v>
      </c>
      <c r="J6" s="63">
        <v>0.06</v>
      </c>
      <c r="K6" s="969">
        <f>SUMIF('数据-汇总表'!C$19:C$33,A6,'数据-汇总表'!E$19:E$33)</f>
        <v>81.66</v>
      </c>
      <c r="L6" s="3186">
        <v>4000</v>
      </c>
      <c r="M6" s="64">
        <f t="shared" ref="M6:M14" si="1">ROUND(K6*L6/10000,0)</f>
        <v>33</v>
      </c>
      <c r="N6" s="3187">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15000</v>
      </c>
      <c r="V6" s="67">
        <v>0.03</v>
      </c>
      <c r="W6" s="67">
        <v>0.05</v>
      </c>
      <c r="X6" s="978"/>
      <c r="Y6" s="68">
        <f>N6</f>
        <v>0.75</v>
      </c>
      <c r="Z6" s="69"/>
      <c r="AA6" s="63"/>
      <c r="AB6" s="63"/>
      <c r="AC6" s="978"/>
      <c r="AD6" s="70"/>
      <c r="AE6" s="979">
        <f ca="1">IF(AN6="",0,SUMIF(INDIRECT("'"&amp;AN6&amp;"'"&amp;"!E:E"),$AE$5,INDIRECT("'"&amp;AN6&amp;"'"&amp;"!F:F")))</f>
        <v>48.09</v>
      </c>
      <c r="AF6" s="74"/>
      <c r="AG6" s="129">
        <f>IF(AF6="",0,AE6-AF6)</f>
        <v>0</v>
      </c>
      <c r="AH6" s="71">
        <v>1</v>
      </c>
      <c r="AI6" s="73">
        <v>12</v>
      </c>
      <c r="AJ6" s="74"/>
      <c r="AK6" s="75">
        <v>1.4999999999999999E-2</v>
      </c>
      <c r="AL6" s="76">
        <v>1E-3</v>
      </c>
      <c r="AM6" s="77">
        <v>0.01</v>
      </c>
      <c r="AN6" s="1587" t="s">
        <v>3394</v>
      </c>
      <c r="AO6" s="50">
        <f ca="1">SUMIF(INDIRECT("'"&amp;AN6&amp;"'"&amp;"!A:A"),"总价",INDIRECT("'"&amp;AN6&amp;"'"&amp;"!B:B"))</f>
        <v>524.90409999999997</v>
      </c>
      <c r="AP6" s="1588">
        <f>IF(C6="住宅",K6*L6,0)</f>
        <v>326640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0.88900000000000001</v>
      </c>
      <c r="H16" s="84">
        <f>ROUND(SUMPRODUCT(H6:H13,K6:K13)/SUMPRODUCT((H6:H13&gt;0)*(K6:K13)),3)</f>
        <v>3.5000000000000003E-2</v>
      </c>
      <c r="I16" s="85"/>
      <c r="J16" s="85"/>
      <c r="K16" s="86">
        <f>SUM(K6:K15)</f>
        <v>81.66</v>
      </c>
      <c r="L16" s="87">
        <f>ROUND(M16*10000/SUM(K6:K14),0)</f>
        <v>4041</v>
      </c>
      <c r="M16" s="87">
        <f>SUM(M6:M14)</f>
        <v>33</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2005</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1">
        <v>3</v>
      </c>
      <c r="C20" s="2556" t="s">
        <v>2298</v>
      </c>
      <c r="D20" s="2446"/>
      <c r="E20" s="2433"/>
      <c r="F20" s="2433"/>
      <c r="G20" s="2433"/>
      <c r="H20" s="2433"/>
      <c r="I20" s="2433"/>
      <c r="J20" s="2433"/>
      <c r="K20" s="2444"/>
      <c r="L20" s="2444"/>
      <c r="M20" s="3149">
        <f>2024-M19</f>
        <v>19</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1">
        <f>B20</f>
        <v>3</v>
      </c>
      <c r="C21" s="2433"/>
      <c r="D21" s="2446"/>
      <c r="E21" s="2433"/>
      <c r="F21" s="2433"/>
      <c r="G21" s="2433"/>
      <c r="H21" s="2433"/>
      <c r="I21" s="2433"/>
      <c r="J21" s="2433"/>
      <c r="K21" s="2444"/>
      <c r="L21" s="2444"/>
      <c r="M21" s="3150">
        <f>1-(M20)/60</f>
        <v>0.68333333333333335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3</v>
      </c>
      <c r="C22" s="2433"/>
      <c r="D22" s="2446"/>
      <c r="E22" s="2433"/>
      <c r="F22" s="2433"/>
      <c r="G22" s="2433"/>
      <c r="H22" s="2433"/>
      <c r="I22" s="2433"/>
      <c r="J22" s="2433"/>
      <c r="K22" s="2444"/>
      <c r="L22" s="2444"/>
      <c r="M22" s="3151">
        <v>0.8</v>
      </c>
      <c r="N22" s="3139">
        <f>ROUND(AVERAGE(M21:M22),3)</f>
        <v>0.74199999999999999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3</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13066</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3">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7" t="s">
        <v>2281</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3468</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5" t="s">
        <v>3469</v>
      </c>
      <c r="D6" s="2260"/>
      <c r="E6" s="2264"/>
      <c r="F6" s="314" t="s">
        <v>2260</v>
      </c>
      <c r="G6" s="2265" t="s">
        <v>2261</v>
      </c>
      <c r="H6" s="750"/>
      <c r="I6" s="750"/>
      <c r="J6" s="750"/>
      <c r="K6" s="750"/>
      <c r="L6" s="750"/>
      <c r="M6" s="750"/>
      <c r="N6" s="750"/>
      <c r="O6" s="750"/>
      <c r="P6" s="750"/>
      <c r="Q6" s="750"/>
    </row>
    <row r="7" spans="1:29" ht="132.75" thickBot="1">
      <c r="A7" s="2243"/>
      <c r="B7" s="314" t="s">
        <v>2257</v>
      </c>
      <c r="C7" s="3155" t="s">
        <v>3470</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60">
      <c r="A9" s="2243"/>
      <c r="B9" s="314" t="s">
        <v>2264</v>
      </c>
      <c r="C9" s="3158" t="s">
        <v>3471</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周边有新城国际公寓、世贸国际公寓、温莎大道等住宅小区，居住社区成熟度好。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周边有9路、98路、113路、140路、368路等多条公交线路，地铁1号线与10号线换乘站国贸站，地铁6号线与10号线换乘站呼家楼站，综合评价交通便捷度好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自然环境：团结湖公园等自然景观；
人文环境：当代美术馆等人文场所；
综合评价环境状况较好。</v>
      </c>
      <c r="D20" s="2240"/>
      <c r="E20" s="2248"/>
      <c r="F20" s="314" t="s">
        <v>2260</v>
      </c>
      <c r="G20" s="2288" t="str">
        <f>G6</f>
        <v>估价对象所在区域基础设施水平</v>
      </c>
    </row>
    <row r="21" spans="1:17" ht="140.25">
      <c r="A21" s="2247"/>
      <c r="B21" s="314" t="s">
        <v>2257</v>
      </c>
      <c r="C21" s="2288" t="str">
        <f>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81.66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45435</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680.20330000000001</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81.66</v>
      </c>
      <c r="C14" s="2300"/>
      <c r="D14" s="2300">
        <f ca="1">ROUND(E14*B14/10000,4)</f>
        <v>680.20330000000001</v>
      </c>
      <c r="E14" s="2300">
        <f ca="1">结果表!G20</f>
        <v>83297</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2" t="s">
        <v>1265</v>
      </c>
      <c r="B4" s="1623" t="s">
        <v>1266</v>
      </c>
      <c r="C4" s="1624" t="s">
        <v>3394</v>
      </c>
      <c r="D4" s="1624" t="s">
        <v>3399</v>
      </c>
      <c r="E4" s="3319" t="s">
        <v>1267</v>
      </c>
      <c r="F4" s="3320"/>
      <c r="G4" s="3320"/>
      <c r="H4" s="3320"/>
      <c r="I4" s="3321"/>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3" t="s">
        <v>1268</v>
      </c>
      <c r="B5" s="3280">
        <v>25</v>
      </c>
      <c r="C5" s="3296"/>
      <c r="D5" s="3316"/>
      <c r="E5" s="122" t="s">
        <v>1269</v>
      </c>
      <c r="F5" s="1625"/>
      <c r="G5" s="1625"/>
      <c r="H5" s="1625"/>
      <c r="I5" s="1279"/>
    </row>
    <row r="6" spans="1:12" ht="12.75">
      <c r="A6" s="3293"/>
      <c r="B6" s="3280"/>
      <c r="C6" s="3297"/>
      <c r="D6" s="3316"/>
      <c r="E6" s="122" t="s">
        <v>1270</v>
      </c>
      <c r="F6" s="1625"/>
      <c r="G6" s="1625"/>
      <c r="H6" s="1625"/>
      <c r="I6" s="1279"/>
    </row>
    <row r="7" spans="1:12" ht="12.75">
      <c r="A7" s="3293"/>
      <c r="B7" s="3280"/>
      <c r="C7" s="3298"/>
      <c r="D7" s="3316"/>
      <c r="E7" s="122" t="s">
        <v>1271</v>
      </c>
      <c r="F7" s="1625"/>
      <c r="G7" s="1625"/>
      <c r="H7" s="1625"/>
      <c r="I7" s="1279"/>
    </row>
    <row r="8" spans="1:12" ht="12.75">
      <c r="A8" s="3293" t="s">
        <v>1272</v>
      </c>
      <c r="B8" s="3280">
        <v>15</v>
      </c>
      <c r="C8" s="3296"/>
      <c r="D8" s="3316"/>
      <c r="E8" s="122" t="s">
        <v>1273</v>
      </c>
      <c r="F8" s="1625"/>
      <c r="G8" s="1625"/>
      <c r="H8" s="1625"/>
      <c r="I8" s="1279"/>
    </row>
    <row r="9" spans="1:12" ht="12.75">
      <c r="A9" s="3293"/>
      <c r="B9" s="3280"/>
      <c r="C9" s="3298"/>
      <c r="D9" s="3316"/>
      <c r="E9" s="122" t="s">
        <v>1274</v>
      </c>
      <c r="F9" s="1625"/>
      <c r="G9" s="1625"/>
      <c r="H9" s="1625"/>
      <c r="I9" s="1279"/>
    </row>
    <row r="10" spans="1:12" ht="12.75">
      <c r="A10" s="3293" t="s">
        <v>1275</v>
      </c>
      <c r="B10" s="3280">
        <v>15</v>
      </c>
      <c r="C10" s="3296"/>
      <c r="D10" s="3316"/>
      <c r="E10" s="122" t="s">
        <v>1276</v>
      </c>
      <c r="F10" s="1625"/>
      <c r="G10" s="1625"/>
      <c r="H10" s="1625"/>
      <c r="I10" s="1279"/>
    </row>
    <row r="11" spans="1:12" ht="12.75">
      <c r="A11" s="3293"/>
      <c r="B11" s="3280"/>
      <c r="C11" s="3298"/>
      <c r="D11" s="3316"/>
      <c r="E11" s="122" t="s">
        <v>1277</v>
      </c>
      <c r="F11" s="1625"/>
      <c r="G11" s="1625"/>
      <c r="H11" s="1625"/>
      <c r="I11" s="1279"/>
    </row>
    <row r="12" spans="1:12" ht="12.75">
      <c r="A12" s="3293" t="s">
        <v>1278</v>
      </c>
      <c r="B12" s="3280">
        <v>15</v>
      </c>
      <c r="C12" s="3296"/>
      <c r="D12" s="3316"/>
      <c r="E12" s="122" t="s">
        <v>1279</v>
      </c>
      <c r="F12" s="1625"/>
      <c r="G12" s="1625"/>
      <c r="H12" s="1625"/>
      <c r="I12" s="1279"/>
    </row>
    <row r="13" spans="1:12" ht="12.75">
      <c r="A13" s="3293"/>
      <c r="B13" s="3280"/>
      <c r="C13" s="3298"/>
      <c r="D13" s="3316"/>
      <c r="E13" s="122" t="s">
        <v>1280</v>
      </c>
      <c r="F13" s="1625"/>
      <c r="G13" s="1625"/>
      <c r="H13" s="1625"/>
      <c r="I13" s="1279"/>
    </row>
    <row r="14" spans="1:12" ht="12.75">
      <c r="A14" s="3293" t="s">
        <v>1281</v>
      </c>
      <c r="B14" s="3280">
        <v>30</v>
      </c>
      <c r="C14" s="3296">
        <v>2</v>
      </c>
      <c r="D14" s="3316">
        <f>10-C14</f>
        <v>8</v>
      </c>
      <c r="E14" s="122" t="s">
        <v>1282</v>
      </c>
      <c r="F14" s="1625"/>
      <c r="G14" s="1625"/>
      <c r="H14" s="1625"/>
      <c r="I14" s="1279"/>
    </row>
    <row r="15" spans="1:12" ht="12.75">
      <c r="A15" s="3293"/>
      <c r="B15" s="3280"/>
      <c r="C15" s="3297"/>
      <c r="D15" s="3316"/>
      <c r="E15" s="122" t="s">
        <v>1283</v>
      </c>
      <c r="F15" s="1625"/>
      <c r="G15" s="1625"/>
      <c r="H15" s="1625"/>
      <c r="I15" s="1279"/>
    </row>
    <row r="16" spans="1:12" ht="12.75">
      <c r="A16" s="3293"/>
      <c r="B16" s="3280"/>
      <c r="C16" s="3298"/>
      <c r="D16" s="3316"/>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03" t="s">
        <v>2128</v>
      </c>
      <c r="F18" s="3304"/>
      <c r="G18" s="3304"/>
      <c r="H18" s="3304"/>
      <c r="I18" s="3304"/>
      <c r="K18" s="293" t="s">
        <v>1289</v>
      </c>
      <c r="L18" s="293">
        <f>IF(C1="",'数据-汇总表'!E3,SUMIF(项目类型,C1,'数据-汇总表'!E17:E26)+SUMIF(项目类型,C1,'数据-汇总表'!I17:I26))</f>
        <v>81.66</v>
      </c>
      <c r="M18" s="293">
        <f>IF(C1="",'数据-汇总表'!E3,SUMIF(项目类型,C1,'数据-汇总表'!E17:E26))</f>
        <v>81.66</v>
      </c>
    </row>
    <row r="19" spans="1:36" ht="15">
      <c r="A19" s="1628" t="s">
        <v>1290</v>
      </c>
      <c r="B19" s="1629" t="s">
        <v>1291</v>
      </c>
      <c r="C19" s="125">
        <f ca="1">SUMIF(INDIRECT("'"&amp;C4&amp;"'"&amp;"!A:A"),结果表!B19,INDIRECT("'"&amp;C4&amp;"'"&amp;"!B:B"))</f>
        <v>524.90409999999997</v>
      </c>
      <c r="D19" s="126">
        <f ca="1">SUMIF(INDIRECT("'"&amp;D4&amp;"'"&amp;"!A:A"),结果表!B19,INDIRECT("'"&amp;D4&amp;"'"&amp;"!B:B"))</f>
        <v>719.0326</v>
      </c>
      <c r="E19" s="1628" t="s">
        <v>1292</v>
      </c>
      <c r="F19" s="1629" t="s">
        <v>1291</v>
      </c>
      <c r="G19" s="3162">
        <f ca="1">ROUND((G20*'数据-基础表'!I13)/10000,4)</f>
        <v>680.20330000000001</v>
      </c>
      <c r="H19" s="1630" t="s">
        <v>1293</v>
      </c>
      <c r="I19" s="120">
        <f ca="1">G20*69.1/10000</f>
        <v>575.58226999999988</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64279</v>
      </c>
      <c r="D20" s="129">
        <f ca="1">SUMIF(INDIRECT("'"&amp;D4&amp;"'"&amp;"!A:A"),结果表!B20,INDIRECT("'"&amp;D4&amp;"'"&amp;"!B:B"))</f>
        <v>88052</v>
      </c>
      <c r="E20" s="1631"/>
      <c r="F20" s="43" t="s">
        <v>1295</v>
      </c>
      <c r="G20" s="130">
        <f ca="1">ROUND(C20*$C$18+D20*$D$18,0)</f>
        <v>83297</v>
      </c>
      <c r="H20" s="759" t="s">
        <v>1296</v>
      </c>
      <c r="I20" s="120">
        <f ca="1">G19/700</f>
        <v>0.971719</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0.36983612816131561</v>
      </c>
      <c r="E22" s="120"/>
      <c r="F22" s="120"/>
      <c r="G22" s="120"/>
      <c r="H22" s="120"/>
      <c r="I22" s="120"/>
    </row>
    <row r="23" spans="1:36" ht="13.5" thickBot="1">
      <c r="A23" s="645"/>
      <c r="B23" s="645"/>
      <c r="C23" s="645"/>
      <c r="D23" s="645"/>
      <c r="E23" s="120"/>
      <c r="F23" s="120"/>
      <c r="G23" s="120"/>
      <c r="H23" s="120"/>
      <c r="I23" s="120"/>
    </row>
    <row r="24" spans="1:36" ht="14.25">
      <c r="A24" s="3287" t="s">
        <v>1299</v>
      </c>
      <c r="B24" s="1629" t="s">
        <v>1291</v>
      </c>
      <c r="C24" s="127">
        <f>IF(B30=0,0,D30)</f>
        <v>0</v>
      </c>
      <c r="D24" s="1635"/>
      <c r="E24" s="120"/>
      <c r="F24" s="120"/>
      <c r="G24" s="120">
        <f ca="1">系统读取表!D14</f>
        <v>680.20330000000001</v>
      </c>
      <c r="H24" s="120"/>
      <c r="I24" s="120"/>
    </row>
    <row r="25" spans="1:36" ht="14.25">
      <c r="A25" s="3288"/>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81.66</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83297</v>
      </c>
      <c r="D30" s="3165">
        <f ca="1">ROUND((G19*10000-D27)/10000,4)</f>
        <v>680.20330000000001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83297</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7" t="s">
        <v>1312</v>
      </c>
      <c r="B36" s="1650" t="s">
        <v>1313</v>
      </c>
      <c r="C36" s="136"/>
      <c r="D36" s="1651"/>
      <c r="E36" s="1565"/>
      <c r="F36" s="1652"/>
      <c r="G36" s="120"/>
      <c r="H36" s="120"/>
      <c r="I36" s="120"/>
    </row>
    <row r="37" spans="1:15" ht="15.75" thickBot="1">
      <c r="A37" s="3308"/>
      <c r="B37" s="1553" t="s">
        <v>1314</v>
      </c>
      <c r="C37" s="138"/>
      <c r="D37" s="1070"/>
      <c r="E37" s="1070"/>
      <c r="F37" s="1652"/>
      <c r="G37" s="120"/>
      <c r="H37" s="120"/>
      <c r="I37" s="120"/>
    </row>
    <row r="38" spans="1:15" ht="15.75" thickBot="1">
      <c r="A38" s="3309"/>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4" t="s">
        <v>1326</v>
      </c>
      <c r="B45" s="3285"/>
      <c r="C45" s="3286"/>
      <c r="D45" s="146" t="e">
        <f ca="1">ROUND(H101*F45,0)</f>
        <v>#REF!</v>
      </c>
      <c r="E45" s="147" t="s">
        <v>1327</v>
      </c>
      <c r="F45" s="148">
        <v>1</v>
      </c>
      <c r="G45" s="149" t="s">
        <v>1328</v>
      </c>
      <c r="H45" s="120"/>
      <c r="I45" s="120"/>
      <c r="J45" s="3362" t="s">
        <v>1329</v>
      </c>
      <c r="K45" s="3362"/>
      <c r="L45" s="3362"/>
      <c r="M45" s="3362"/>
      <c r="N45" s="3362"/>
      <c r="O45" s="3362"/>
    </row>
    <row r="46" spans="1:15" ht="14.25" customHeight="1">
      <c r="A46" s="3281" t="s">
        <v>1330</v>
      </c>
      <c r="B46" s="3282"/>
      <c r="C46" s="3282"/>
      <c r="D46" s="3282"/>
      <c r="E46" s="3282"/>
      <c r="F46" s="3282"/>
      <c r="G46" s="3283"/>
      <c r="H46" s="1666"/>
      <c r="I46" s="150"/>
      <c r="J46" s="2304">
        <v>1</v>
      </c>
      <c r="K46" s="3343" t="s">
        <v>1331</v>
      </c>
      <c r="L46" s="3343"/>
      <c r="M46" s="3363"/>
      <c r="N46" s="3363"/>
      <c r="O46" s="3363"/>
    </row>
    <row r="47" spans="1:15" ht="12" customHeight="1">
      <c r="A47" s="151" t="s">
        <v>1332</v>
      </c>
      <c r="B47" s="152"/>
      <c r="C47" s="153"/>
      <c r="D47" s="1023" t="s">
        <v>1333</v>
      </c>
      <c r="E47" s="293" t="s">
        <v>1334</v>
      </c>
      <c r="F47" s="154" t="s">
        <v>1335</v>
      </c>
      <c r="G47" s="2327" t="s">
        <v>1336</v>
      </c>
      <c r="H47" s="2328"/>
      <c r="I47" s="150"/>
      <c r="J47" s="2304">
        <v>2</v>
      </c>
      <c r="K47" s="3343" t="s">
        <v>1337</v>
      </c>
      <c r="L47" s="3343"/>
      <c r="M47" s="3364">
        <f>'数据-取费表'!B2</f>
        <v>45435</v>
      </c>
      <c r="N47" s="3364"/>
      <c r="O47" s="3364"/>
    </row>
    <row r="48" spans="1:15" ht="25.5">
      <c r="A48" s="3312" t="s">
        <v>1338</v>
      </c>
      <c r="B48" s="3295"/>
      <c r="C48" s="3295"/>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43" t="s">
        <v>1340</v>
      </c>
      <c r="L48" s="3343"/>
      <c r="M48" s="3365" t="e">
        <f ca="1">H101</f>
        <v>#REF!</v>
      </c>
      <c r="N48" s="3365"/>
      <c r="O48" s="3365"/>
    </row>
    <row r="49" spans="1:35" ht="25.5" customHeight="1">
      <c r="A49" s="2147" t="s">
        <v>1341</v>
      </c>
      <c r="B49" s="3279" t="s">
        <v>1342</v>
      </c>
      <c r="C49" s="3279"/>
      <c r="D49" s="1476">
        <v>0</v>
      </c>
      <c r="E49" s="315" t="s">
        <v>1343</v>
      </c>
      <c r="F49" s="2228" t="s">
        <v>28</v>
      </c>
      <c r="G49" s="3349"/>
      <c r="H49" s="2129" t="s">
        <v>2131</v>
      </c>
      <c r="I49" s="2130"/>
      <c r="J49" s="2304">
        <v>4</v>
      </c>
      <c r="K49" s="3343" t="str">
        <f>IF(项目基本情况!E8="房地产抵押价值","房地产抵押价值","抵押担保权已注销时的房地产抵押价值")</f>
        <v>抵押担保权已注销时的房地产抵押价值</v>
      </c>
      <c r="L49" s="3343"/>
      <c r="M49" s="3365" t="str">
        <f>IF(项目基本情况!E8="房地产抵押价值",H107,H109)</f>
        <v>——</v>
      </c>
      <c r="N49" s="3365"/>
      <c r="O49" s="3365"/>
    </row>
    <row r="50" spans="1:35" ht="25.5" customHeight="1">
      <c r="A50" s="2332"/>
      <c r="B50" s="3279" t="s">
        <v>1344</v>
      </c>
      <c r="C50" s="3279"/>
      <c r="D50" s="2184"/>
      <c r="E50" s="322"/>
      <c r="F50" s="2228"/>
      <c r="G50" s="3350"/>
      <c r="H50" s="2131" t="s">
        <v>2132</v>
      </c>
      <c r="I50" s="2130"/>
      <c r="J50" s="3362" t="s">
        <v>1345</v>
      </c>
      <c r="K50" s="3362"/>
      <c r="L50" s="3362"/>
      <c r="M50" s="3362"/>
      <c r="N50" s="3362"/>
      <c r="O50" s="3362"/>
    </row>
    <row r="51" spans="1:35" ht="20.45" customHeight="1">
      <c r="A51" s="2333"/>
      <c r="B51" s="3279" t="s">
        <v>1346</v>
      </c>
      <c r="C51" s="3279"/>
      <c r="D51" s="1023"/>
      <c r="E51" s="318"/>
      <c r="F51" s="2228"/>
      <c r="G51" s="3351"/>
      <c r="H51" s="2131" t="s">
        <v>2133</v>
      </c>
      <c r="I51" s="2130"/>
      <c r="J51" s="2305" t="s">
        <v>1347</v>
      </c>
      <c r="K51" s="3343" t="s">
        <v>1348</v>
      </c>
      <c r="L51" s="3343"/>
      <c r="M51" s="2305" t="s">
        <v>1349</v>
      </c>
      <c r="N51" s="2305" t="s">
        <v>1350</v>
      </c>
      <c r="O51" s="2305" t="s">
        <v>1351</v>
      </c>
    </row>
    <row r="52" spans="1:35" ht="24" customHeight="1">
      <c r="A52" s="2148" t="s">
        <v>1352</v>
      </c>
      <c r="B52" s="3279" t="s">
        <v>1353</v>
      </c>
      <c r="C52" s="3279"/>
      <c r="D52" s="1023" t="e">
        <f ca="1">ROUND(D45*'数据-取费表'!B41/(1+'数据-取费表'!C42),0)</f>
        <v>#REF!</v>
      </c>
      <c r="E52" s="1254" t="s">
        <v>1354</v>
      </c>
      <c r="F52" s="2334">
        <f>'数据-取费表'!B41</f>
        <v>5.6000000000000001E-2</v>
      </c>
      <c r="G52" s="2335"/>
      <c r="H52" s="2325"/>
      <c r="I52" s="1667"/>
      <c r="J52" s="2304">
        <v>1</v>
      </c>
      <c r="K52" s="3344" t="s">
        <v>1355</v>
      </c>
      <c r="L52" s="3344"/>
      <c r="M52" s="2306" t="b">
        <f>D48</f>
        <v>0</v>
      </c>
      <c r="N52" s="2304" t="str">
        <f>E48</f>
        <v>销售额×税（费）率</v>
      </c>
      <c r="O52" s="2307">
        <f>F48</f>
        <v>5.6000000000000001E-2</v>
      </c>
    </row>
    <row r="53" spans="1:35" ht="12" customHeight="1">
      <c r="A53" s="2148" t="s">
        <v>1356</v>
      </c>
      <c r="B53" s="3305" t="s">
        <v>2286</v>
      </c>
      <c r="C53" s="3306"/>
      <c r="D53" s="1023" t="e">
        <f ca="1">ROUND(D45*'数据-取费表'!B41/(1+'数据-取费表'!C42),0)</f>
        <v>#REF!</v>
      </c>
      <c r="E53" s="1254" t="s">
        <v>1354</v>
      </c>
      <c r="F53" s="2334">
        <f>'数据-取费表'!B41</f>
        <v>5.6000000000000001E-2</v>
      </c>
      <c r="G53" s="2335"/>
      <c r="H53" s="2325"/>
      <c r="I53" s="1667"/>
      <c r="J53" s="2304">
        <v>2</v>
      </c>
      <c r="K53" s="3344" t="s">
        <v>1357</v>
      </c>
      <c r="L53" s="3344"/>
      <c r="M53" s="2306" t="e">
        <f t="shared" ref="M53:O54" ca="1" si="0">D55</f>
        <v>#REF!</v>
      </c>
      <c r="N53" s="2304" t="str">
        <f t="shared" si="0"/>
        <v>销售额×税（费）率</v>
      </c>
      <c r="O53" s="2307" t="str">
        <f t="shared" si="0"/>
        <v>免征</v>
      </c>
    </row>
    <row r="54" spans="1:35" ht="12" customHeight="1">
      <c r="A54" s="2148" t="s">
        <v>1358</v>
      </c>
      <c r="B54" s="3305" t="s">
        <v>2287</v>
      </c>
      <c r="C54" s="3306"/>
      <c r="D54" s="1023" t="e">
        <f ca="1">C68</f>
        <v>#REF!</v>
      </c>
      <c r="E54" s="318" t="s">
        <v>1359</v>
      </c>
      <c r="F54" s="2334">
        <f>'数据-取费表'!B41</f>
        <v>5.6000000000000001E-2</v>
      </c>
      <c r="G54" s="2335"/>
      <c r="H54" s="2336"/>
      <c r="I54" s="1667"/>
      <c r="J54" s="2304">
        <v>3</v>
      </c>
      <c r="K54" s="3344" t="s">
        <v>1360</v>
      </c>
      <c r="L54" s="3344"/>
      <c r="M54" s="2306" t="e">
        <f t="shared" ca="1" si="0"/>
        <v>#REF!</v>
      </c>
      <c r="N54" s="2304" t="str">
        <f t="shared" si="0"/>
        <v>增值额×税（费）率</v>
      </c>
      <c r="O54" s="2308" t="str">
        <f t="shared" si="0"/>
        <v>免征</v>
      </c>
    </row>
    <row r="55" spans="1:35" ht="24" customHeight="1">
      <c r="A55" s="3294" t="s">
        <v>1361</v>
      </c>
      <c r="B55" s="3295"/>
      <c r="C55" s="3295"/>
      <c r="D55" s="12" t="e">
        <f ca="1">IF(H55="个人住宅",0,ROUND(D45*I55,0))</f>
        <v>#REF!</v>
      </c>
      <c r="E55" s="1254" t="s">
        <v>1362</v>
      </c>
      <c r="F55" s="2334" t="str">
        <f>IF(H55="正常",I55,"免征")</f>
        <v>免征</v>
      </c>
      <c r="G55" s="2335"/>
      <c r="H55" s="2331"/>
      <c r="I55" s="156">
        <f>'数据-取费表'!B49</f>
        <v>5.0000000000000001E-4</v>
      </c>
      <c r="J55" s="2304">
        <f>IF(H59="非个人房产","",4)</f>
        <v>4</v>
      </c>
      <c r="K55" s="3344" t="str">
        <f>IF(H59="非个人房产","——","个人所得税")</f>
        <v>个人所得税</v>
      </c>
      <c r="L55" s="3344"/>
      <c r="M55" s="2309" t="e">
        <f ca="1">D59</f>
        <v>#REF!</v>
      </c>
      <c r="N55" s="1878" t="str">
        <f>E59</f>
        <v>差额计税</v>
      </c>
      <c r="O55" s="2310">
        <f>F59</f>
        <v>0.01</v>
      </c>
    </row>
    <row r="56" spans="1:35" ht="24.75">
      <c r="A56" s="3294" t="s">
        <v>1363</v>
      </c>
      <c r="B56" s="3295"/>
      <c r="C56" s="3295"/>
      <c r="D56" s="12" t="e">
        <f ca="1">IF(H56="个人住宅",D57,D58)</f>
        <v>#REF!</v>
      </c>
      <c r="E56" s="1254" t="s">
        <v>1364</v>
      </c>
      <c r="F56" s="2334" t="str">
        <f>IF(H56="正常",F58,"免征")</f>
        <v>免征</v>
      </c>
      <c r="G56" s="2337" t="s">
        <v>1365</v>
      </c>
      <c r="H56" s="2338"/>
      <c r="I56" s="1668"/>
      <c r="J56" s="2304" t="str">
        <f>IF(项目基本情况!K6="上海银行",IF(J55="",4,J55+1),"")</f>
        <v/>
      </c>
      <c r="K56" s="3367" t="str">
        <f>IF(项目基本情况!K6="上海银行","其他处置费用","")</f>
        <v/>
      </c>
      <c r="L56" s="3368"/>
      <c r="M56" s="2306" t="str">
        <f>IF(项目基本情况!K6="上海银行",M69,"")</f>
        <v/>
      </c>
      <c r="N56" s="3367" t="str">
        <f>IF(项目基本情况!K6="上海银行","包含处置中涉及的律师、诉讼、拍卖、评估等费用","")</f>
        <v/>
      </c>
      <c r="O56" s="3370"/>
    </row>
    <row r="57" spans="1:35" ht="12.75">
      <c r="A57" s="2148" t="s">
        <v>1341</v>
      </c>
      <c r="B57" s="3305" t="s">
        <v>1366</v>
      </c>
      <c r="C57" s="3306"/>
      <c r="D57" s="1476">
        <v>0</v>
      </c>
      <c r="E57" s="315" t="s">
        <v>1343</v>
      </c>
      <c r="F57" s="293"/>
      <c r="G57" s="2335"/>
      <c r="H57" s="2339"/>
      <c r="I57" s="1668"/>
      <c r="J57" s="3344">
        <f>IF(AND(J55="",J56=""),4,IF(项目基本情况!K6="上海银行",结果表!J56+1,结果表!J55+1))</f>
        <v>5</v>
      </c>
      <c r="K57" s="3344" t="s">
        <v>1367</v>
      </c>
      <c r="L57" s="2311" t="s">
        <v>1368</v>
      </c>
      <c r="M57" s="2312"/>
      <c r="N57" s="2313">
        <f ca="1">SUMIF(M52:M56,"&lt;9e307")</f>
        <v>0</v>
      </c>
      <c r="O57" s="2314"/>
      <c r="P57" s="2459" t="e">
        <f ca="1">N57/M49</f>
        <v>#VALUE!</v>
      </c>
    </row>
    <row r="58" spans="1:35" ht="24.75">
      <c r="A58" s="2148" t="s">
        <v>1352</v>
      </c>
      <c r="B58" s="3305" t="s">
        <v>1369</v>
      </c>
      <c r="C58" s="3279"/>
      <c r="D58" s="12" t="e">
        <f ca="1">IF(H58="转让取得",C81,C97)</f>
        <v>#REF!</v>
      </c>
      <c r="E58" s="1254" t="s">
        <v>1364</v>
      </c>
      <c r="F58" s="293" t="s">
        <v>28</v>
      </c>
      <c r="G58" s="2335"/>
      <c r="H58" s="2338"/>
      <c r="I58" s="1668"/>
      <c r="J58" s="3344"/>
      <c r="K58" s="3344"/>
      <c r="L58" s="2311" t="s">
        <v>1370</v>
      </c>
      <c r="M58" s="2315"/>
      <c r="N58" s="2316" t="str">
        <f ca="1">NUMBERSTRING(INT(N57*10000),2)&amp;"元整"</f>
        <v>零元整</v>
      </c>
      <c r="O58" s="2317"/>
    </row>
    <row r="59" spans="1:35" ht="24.75" thickBot="1">
      <c r="A59" s="3347" t="s">
        <v>1371</v>
      </c>
      <c r="B59" s="3348"/>
      <c r="C59" s="3348"/>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5">
        <f>J57+1</f>
        <v>6</v>
      </c>
      <c r="K59" s="3344" t="s">
        <v>1372</v>
      </c>
      <c r="L59" s="2304" t="s">
        <v>1368</v>
      </c>
      <c r="M59" s="2318"/>
      <c r="N59" s="2319" t="e">
        <f ca="1">M49-N57</f>
        <v>#VALUE!</v>
      </c>
      <c r="O59" s="2320"/>
    </row>
    <row r="60" spans="1:35" ht="12" customHeight="1">
      <c r="A60" s="1669"/>
      <c r="B60" s="645"/>
      <c r="C60" s="645"/>
      <c r="D60" s="645"/>
      <c r="E60" s="1464"/>
      <c r="F60" s="1668"/>
      <c r="G60" s="1668"/>
      <c r="H60" s="150"/>
      <c r="I60" s="120"/>
      <c r="J60" s="3346"/>
      <c r="K60" s="3344"/>
      <c r="L60" s="2311" t="s">
        <v>1370</v>
      </c>
      <c r="M60" s="2315"/>
      <c r="N60" s="2316" t="e">
        <f ca="1">NUMBERSTRING(INT(N59*10000),2)&amp;"元整"</f>
        <v>#VALUE!</v>
      </c>
      <c r="O60" s="2317"/>
    </row>
    <row r="61" spans="1:35" ht="13.5" thickBot="1">
      <c r="A61" s="3292" t="s">
        <v>1373</v>
      </c>
      <c r="B61" s="3292"/>
      <c r="C61" s="3292"/>
      <c r="D61" s="3292"/>
      <c r="E61" s="3292"/>
      <c r="F61" s="1668"/>
      <c r="G61" s="1668"/>
      <c r="H61" s="150"/>
      <c r="I61" s="120"/>
      <c r="J61" s="2304">
        <f>J59+1</f>
        <v>7</v>
      </c>
      <c r="K61" s="3344" t="s">
        <v>1374</v>
      </c>
      <c r="L61" s="3344"/>
      <c r="M61" s="2321"/>
      <c r="N61" s="2322" t="e">
        <f ca="1">ROUND(N59*10000/'数据-汇总表'!E3,0)</f>
        <v>#VALUE!</v>
      </c>
      <c r="O61" s="2323"/>
    </row>
    <row r="62" spans="1:35" ht="12.75">
      <c r="A62" s="3310" t="s">
        <v>1375</v>
      </c>
      <c r="B62" s="3311"/>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9"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9"/>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9"/>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9"/>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9"/>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69"/>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9"/>
      <c r="K69" s="1243" t="s">
        <v>1393</v>
      </c>
      <c r="L69" s="1243"/>
      <c r="M69" s="293" t="e">
        <f>ROUND(SUM(M63:M68),0)</f>
        <v>#VALUE!</v>
      </c>
      <c r="N69" s="2326" t="e">
        <f>M69/M49</f>
        <v>#VALUE!</v>
      </c>
      <c r="Z69" s="1621"/>
      <c r="AI69" s="1559"/>
    </row>
    <row r="70" spans="1:35" s="641" customFormat="1" ht="15" thickBot="1">
      <c r="A70" s="3331" t="s">
        <v>1394</v>
      </c>
      <c r="B70" s="3332"/>
      <c r="C70" s="3332"/>
      <c r="D70" s="3332"/>
      <c r="E70" s="3332"/>
      <c r="F70" s="3332"/>
      <c r="G70" s="3332"/>
      <c r="H70" s="3332"/>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10" t="s">
        <v>1375</v>
      </c>
      <c r="B71" s="3311"/>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5" t="s">
        <v>1402</v>
      </c>
      <c r="F76" s="3279"/>
      <c r="G76" s="3279"/>
      <c r="H76" s="3330"/>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289" t="s">
        <v>1406</v>
      </c>
      <c r="F78" s="3290"/>
      <c r="G78" s="3290"/>
      <c r="H78" s="329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1" t="s">
        <v>1410</v>
      </c>
      <c r="B83" s="3332"/>
      <c r="C83" s="3332"/>
      <c r="D83" s="3332"/>
      <c r="E83" s="3332"/>
      <c r="F83" s="3332"/>
      <c r="G83" s="3332"/>
      <c r="H83" s="3332"/>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10" t="s">
        <v>1375</v>
      </c>
      <c r="B84" s="3311"/>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71" t="s">
        <v>2126</v>
      </c>
      <c r="H90" s="3372"/>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9" t="s">
        <v>1419</v>
      </c>
      <c r="F91" s="3290"/>
      <c r="G91" s="329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9" t="s">
        <v>1422</v>
      </c>
      <c r="F92" s="3290"/>
      <c r="G92" s="3290"/>
      <c r="H92" s="3299"/>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289" t="s">
        <v>1406</v>
      </c>
      <c r="F93" s="3290"/>
      <c r="G93" s="3290"/>
      <c r="H93" s="329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00" t="s">
        <v>1426</v>
      </c>
      <c r="F94" s="3301"/>
      <c r="G94" s="3301"/>
      <c r="H94" s="330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3" t="s">
        <v>1428</v>
      </c>
      <c r="B100" s="3274"/>
      <c r="C100" s="3274"/>
      <c r="D100" s="3291"/>
      <c r="E100" s="3274" t="s">
        <v>1429</v>
      </c>
      <c r="F100" s="3274"/>
      <c r="G100" s="3274"/>
      <c r="H100" s="3291"/>
      <c r="I100" s="120"/>
    </row>
    <row r="101" spans="1:35" ht="18.75" customHeight="1">
      <c r="A101" s="3352" t="s">
        <v>1430</v>
      </c>
      <c r="B101" s="3353"/>
      <c r="C101" s="2365" t="str">
        <f>C4</f>
        <v>收益法 (元)</v>
      </c>
      <c r="D101" s="2366" t="str">
        <f>D4</f>
        <v>比较法-住宅</v>
      </c>
      <c r="E101" s="3366" t="s">
        <v>1431</v>
      </c>
      <c r="F101" s="3323"/>
      <c r="G101" s="1685" t="s">
        <v>1432</v>
      </c>
      <c r="H101" s="2375" t="e">
        <f ca="1">H118</f>
        <v>#REF!</v>
      </c>
      <c r="I101" s="120"/>
    </row>
    <row r="102" spans="1:35" ht="18.75" customHeight="1">
      <c r="A102" s="3325" t="s">
        <v>1433</v>
      </c>
      <c r="B102" s="2364" t="s">
        <v>1432</v>
      </c>
      <c r="C102" s="2365">
        <f ca="1">IF(D32="楼面单价",ROUND(C19,0),C19)</f>
        <v>524.90409999999997</v>
      </c>
      <c r="D102" s="2366">
        <f ca="1">IF(D32="楼面单价",ROUND(D19,0),D19)</f>
        <v>719.0326</v>
      </c>
      <c r="E102" s="3366"/>
      <c r="F102" s="3323"/>
      <c r="G102" s="1685" t="s">
        <v>1434</v>
      </c>
      <c r="H102" s="2335" t="e">
        <f ca="1">I118</f>
        <v>#REF!</v>
      </c>
      <c r="I102" s="120"/>
    </row>
    <row r="103" spans="1:35" ht="42.75" customHeight="1">
      <c r="A103" s="3325"/>
      <c r="B103" s="2364" t="s">
        <v>1434</v>
      </c>
      <c r="C103" s="2367">
        <f ca="1">C20</f>
        <v>64279</v>
      </c>
      <c r="D103" s="2368">
        <f ca="1">D20</f>
        <v>88052</v>
      </c>
      <c r="E103" s="3360" t="s">
        <v>1435</v>
      </c>
      <c r="F103" s="3361"/>
      <c r="G103" s="1686" t="s">
        <v>1436</v>
      </c>
      <c r="H103" s="2375">
        <f>IF(D36="正常操作",H104+H105+H106,H105+H106)</f>
        <v>0</v>
      </c>
      <c r="I103" s="120"/>
    </row>
    <row r="104" spans="1:35" ht="18.75" customHeight="1">
      <c r="A104" s="3325"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6"/>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2" t="str">
        <f>IF(项目基本情况!E8="已注销","——","3.房地产抵押价值")</f>
        <v>3.房地产抵押价值</v>
      </c>
      <c r="F107" s="3323"/>
      <c r="G107" s="1685" t="s">
        <v>1432</v>
      </c>
      <c r="H107" s="2375" t="e">
        <f ca="1">IF(E107="——","——",H101-H103)</f>
        <v>#REF!</v>
      </c>
      <c r="I107" s="120"/>
    </row>
    <row r="108" spans="1:35" ht="18.75" customHeight="1">
      <c r="A108" s="120"/>
      <c r="B108" s="120"/>
      <c r="C108" s="120"/>
      <c r="D108" s="120"/>
      <c r="E108" s="3322"/>
      <c r="F108" s="3323"/>
      <c r="G108" s="1685" t="s">
        <v>1434</v>
      </c>
      <c r="H108" s="2335">
        <f ca="1">IF(H107=H101,H102,ROUND(H107*10000/'数据-汇总表'!E3,0))</f>
        <v>0</v>
      </c>
      <c r="I108" s="120"/>
    </row>
    <row r="109" spans="1:35" ht="18.75" customHeight="1">
      <c r="A109" s="120"/>
      <c r="B109" s="120"/>
      <c r="C109" s="120"/>
      <c r="D109" s="120"/>
      <c r="E109" s="3322" t="str">
        <f>IF(项目基本情况!E8="已注销及未注销","4.抵押担保权已注销时的房地产抵押价值",IF(项目基本情况!E8="已注销","3.抵押担保权已注销时的房地产抵押价值","——"))</f>
        <v>——</v>
      </c>
      <c r="F109" s="3323"/>
      <c r="G109" s="1685" t="s">
        <v>1432</v>
      </c>
      <c r="H109" s="2378" t="str">
        <f>IF(E109="——","——",H101-H105-H106)</f>
        <v>——</v>
      </c>
      <c r="I109" s="120"/>
    </row>
    <row r="110" spans="1:35" ht="18.75" customHeight="1">
      <c r="A110" s="120"/>
      <c r="B110" s="120"/>
      <c r="C110" s="120"/>
      <c r="D110" s="120"/>
      <c r="E110" s="3322"/>
      <c r="F110" s="3323"/>
      <c r="G110" s="1685" t="s">
        <v>1434</v>
      </c>
      <c r="H110" s="2335" t="str">
        <f>IF(H109="——","——",ROUND(H109*10000/'数据-汇总表'!E3,0))</f>
        <v>——</v>
      </c>
      <c r="I110" s="120"/>
    </row>
    <row r="111" spans="1:35" ht="18.75" customHeight="1">
      <c r="A111" s="120"/>
      <c r="B111" s="120"/>
      <c r="C111" s="120"/>
      <c r="D111" s="120"/>
      <c r="E111" s="3354" t="str">
        <f>IF(项目基本情况!E9="抵押净值",IF(OR(项目基本情况!E8="已注销",项目基本情况!E8="房地产抵押价值"),"4.抵押净值","5.抵押净值"),"——")</f>
        <v>——</v>
      </c>
      <c r="F111" s="3324"/>
      <c r="G111" s="1685" t="s">
        <v>1432</v>
      </c>
      <c r="H111" s="2375" t="str">
        <f>IF(E111="——","——",N59)</f>
        <v>——</v>
      </c>
      <c r="I111" s="120"/>
    </row>
    <row r="112" spans="1:35" ht="18.75" customHeight="1" thickBot="1">
      <c r="A112" s="120"/>
      <c r="B112" s="120"/>
      <c r="C112" s="120"/>
      <c r="D112" s="120"/>
      <c r="E112" s="3355"/>
      <c r="F112" s="3356"/>
      <c r="G112" s="1688" t="s">
        <v>1434</v>
      </c>
      <c r="H112" s="2379" t="str">
        <f>IF(E111="——","——",N61)</f>
        <v>——</v>
      </c>
      <c r="I112" s="120"/>
    </row>
    <row r="113" spans="1:27" ht="18.75" customHeight="1">
      <c r="A113" s="120"/>
      <c r="B113" s="120"/>
      <c r="C113" s="120"/>
      <c r="D113" s="120"/>
      <c r="E113" s="3327" t="s">
        <v>1440</v>
      </c>
      <c r="F113" s="3327"/>
      <c r="G113" s="3327"/>
      <c r="H113" s="3327"/>
      <c r="I113" s="120"/>
    </row>
    <row r="114" spans="1:27" ht="3.75" customHeight="1">
      <c r="A114" s="645"/>
      <c r="B114" s="645"/>
      <c r="C114" s="645"/>
      <c r="D114" s="645"/>
      <c r="E114" s="1669"/>
      <c r="F114" s="1669"/>
      <c r="G114" s="1669"/>
      <c r="H114" s="1669"/>
      <c r="I114" s="645"/>
    </row>
    <row r="115" spans="1:27" ht="18.75" customHeight="1">
      <c r="A115" s="3337" t="s">
        <v>1442</v>
      </c>
      <c r="B115" s="3338"/>
      <c r="C115" s="3338"/>
      <c r="D115" s="3338"/>
      <c r="E115" s="3338"/>
      <c r="F115" s="3338"/>
      <c r="G115" s="3338"/>
      <c r="H115" s="3338"/>
      <c r="I115" s="3339"/>
    </row>
    <row r="116" spans="1:27" ht="27" customHeight="1">
      <c r="A116" s="3293" t="s">
        <v>1443</v>
      </c>
      <c r="B116" s="3328" t="s">
        <v>1444</v>
      </c>
      <c r="C116" s="3328" t="s">
        <v>1445</v>
      </c>
      <c r="D116" s="3341" t="s">
        <v>1446</v>
      </c>
      <c r="E116" s="3342"/>
      <c r="F116" s="3336" t="s">
        <v>1447</v>
      </c>
      <c r="G116" s="3336"/>
      <c r="H116" s="3293" t="s">
        <v>1448</v>
      </c>
      <c r="I116" s="3293"/>
    </row>
    <row r="117" spans="1:27" ht="18.75" customHeight="1">
      <c r="A117" s="3293"/>
      <c r="B117" s="3329"/>
      <c r="C117" s="3329"/>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81.66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3" t="s">
        <v>1452</v>
      </c>
      <c r="B119" s="3293"/>
      <c r="C119" s="3293"/>
      <c r="D119" s="3333" t="e">
        <f ca="1">NUMBERSTRING(INT(D118*10000),2)&amp;"元整"</f>
        <v>#REF!</v>
      </c>
      <c r="E119" s="3335"/>
      <c r="F119" s="3333" t="e">
        <f ca="1">NUMBERSTRING(INT(F118*10000),2)&amp;"元整"</f>
        <v>#REF!</v>
      </c>
      <c r="G119" s="3335"/>
      <c r="H119" s="3333" t="e">
        <f ca="1">NUMBERSTRING(INT(H118*10000),2)&amp;"元整"</f>
        <v>#REF!</v>
      </c>
      <c r="I119" s="3335"/>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3" t="s">
        <v>1452</v>
      </c>
      <c r="B121" s="3334"/>
      <c r="C121" s="3335"/>
      <c r="D121" s="3333" t="str">
        <f>IF(D120=0,"零元整",NUMBERSTRING(INT(D120*10000),2)&amp;"元整")</f>
        <v>零元整</v>
      </c>
      <c r="E121" s="3334"/>
      <c r="F121" s="3334"/>
      <c r="G121" s="3334"/>
      <c r="H121" s="3334"/>
      <c r="I121" s="3335"/>
      <c r="AA121" s="683"/>
    </row>
    <row r="122" spans="1:27" ht="18.75" customHeight="1">
      <c r="A122" s="3324" t="str">
        <f>IF(项目基本情况!B9="房地产市场价值","",MID(E107,3,LEN(E107)-2))</f>
        <v>房地产抵押价值</v>
      </c>
      <c r="B122" s="3324"/>
      <c r="C122" s="3324"/>
      <c r="D122" s="3357" t="e">
        <f ca="1">H107</f>
        <v>#REF!</v>
      </c>
      <c r="E122" s="3358"/>
      <c r="F122" s="3358"/>
      <c r="G122" s="3358"/>
      <c r="H122" s="3358"/>
      <c r="I122" s="3359"/>
      <c r="AA122" s="683"/>
    </row>
    <row r="123" spans="1:27" ht="18.75" customHeight="1">
      <c r="A123" s="3293" t="s">
        <v>1452</v>
      </c>
      <c r="B123" s="3293"/>
      <c r="C123" s="3293"/>
      <c r="D123" s="3333" t="e">
        <f ca="1">NUMBERSTRING(INT(D122*10000),2)&amp;"元整"</f>
        <v>#REF!</v>
      </c>
      <c r="E123" s="3334"/>
      <c r="F123" s="3334"/>
      <c r="G123" s="3334"/>
      <c r="H123" s="3334"/>
      <c r="I123" s="3335"/>
      <c r="AA123" s="683"/>
    </row>
    <row r="124" spans="1:27" ht="18.75" customHeight="1">
      <c r="A124" s="3324" t="str">
        <f>IF(项目基本情况!B9="房地产市场价值","",MID(E109,3,LEN(E109)-2))</f>
        <v/>
      </c>
      <c r="B124" s="3324"/>
      <c r="C124" s="3324"/>
      <c r="D124" s="3357" t="str">
        <f>H109</f>
        <v>——</v>
      </c>
      <c r="E124" s="3358"/>
      <c r="F124" s="3358"/>
      <c r="G124" s="3358"/>
      <c r="H124" s="3358"/>
      <c r="I124" s="3359"/>
      <c r="AA124" s="683"/>
    </row>
    <row r="125" spans="1:27" ht="18.75" customHeight="1">
      <c r="A125" s="3293" t="s">
        <v>1452</v>
      </c>
      <c r="B125" s="3293"/>
      <c r="C125" s="3293"/>
      <c r="D125" s="3333" t="e">
        <f>NUMBERSTRING(INT(D124*10000),2)&amp;"元整"</f>
        <v>#VALUE!</v>
      </c>
      <c r="E125" s="3334"/>
      <c r="F125" s="3334"/>
      <c r="G125" s="3334"/>
      <c r="H125" s="3334"/>
      <c r="I125" s="3335"/>
      <c r="AA125" s="683"/>
    </row>
    <row r="126" spans="1:27" ht="18.75" customHeight="1">
      <c r="A126" s="3324" t="str">
        <f>IF(项目基本情况!B9="房地产市场价值","",MID(E111,3,LEN(E111)-2))</f>
        <v/>
      </c>
      <c r="B126" s="3324"/>
      <c r="C126" s="3324"/>
      <c r="D126" s="3357" t="str">
        <f>H111</f>
        <v>——</v>
      </c>
      <c r="E126" s="3358"/>
      <c r="F126" s="3358"/>
      <c r="G126" s="3358"/>
      <c r="H126" s="3358"/>
      <c r="I126" s="3359"/>
      <c r="AA126" s="683"/>
    </row>
    <row r="127" spans="1:27" ht="18.75" customHeight="1">
      <c r="A127" s="3293" t="s">
        <v>1452</v>
      </c>
      <c r="B127" s="3293"/>
      <c r="C127" s="3293"/>
      <c r="D127" s="3333" t="e">
        <f>NUMBERSTRING(INT(D126*10000),2)&amp;"元整"</f>
        <v>#VALUE!</v>
      </c>
      <c r="E127" s="3334"/>
      <c r="F127" s="3334"/>
      <c r="G127" s="3334"/>
      <c r="H127" s="3334"/>
      <c r="I127" s="3335"/>
      <c r="AA127" s="683"/>
    </row>
    <row r="128" spans="1:27" ht="21.75" customHeight="1">
      <c r="A128" s="3340" t="s">
        <v>1453</v>
      </c>
      <c r="B128" s="3340"/>
      <c r="C128" s="3340"/>
      <c r="D128" s="3340"/>
      <c r="E128" s="3340"/>
      <c r="F128" s="3340"/>
      <c r="G128" s="3340"/>
      <c r="H128" s="3340"/>
      <c r="I128" s="3340"/>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19542</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2393093</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13066</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13066</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81.66</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81.66</v>
      </c>
      <c r="E19" s="202">
        <f>'数据-取费表'!B31</f>
        <v>200</v>
      </c>
      <c r="F19" s="222"/>
      <c r="G19" s="1712"/>
    </row>
    <row r="20" spans="1:7" s="205" customFormat="1" ht="13.5" customHeight="1">
      <c r="A20" s="246" t="s">
        <v>1493</v>
      </c>
      <c r="B20" s="201" t="s">
        <v>1494</v>
      </c>
      <c r="C20" s="223">
        <f ca="1">ROUND((C5+C19)*F20,0)</f>
        <v>261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1971</v>
      </c>
      <c r="D22" s="226">
        <f ca="1">C26</f>
        <v>1.4E-3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1952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19</v>
      </c>
      <c r="D25" s="229"/>
      <c r="E25" s="232"/>
      <c r="F25" s="230"/>
      <c r="G25" s="233" t="s">
        <v>1510</v>
      </c>
    </row>
    <row r="26" spans="1:7" s="205" customFormat="1">
      <c r="A26" s="733" t="s">
        <v>350</v>
      </c>
      <c r="B26" s="206" t="s">
        <v>1511</v>
      </c>
      <c r="C26" s="229">
        <f ca="1">ROUND(IF('数据-取费表'!B22&lt;=1,F21*F22*'数据-取费表'!B23/2,F21*(POWER((1+F22),'数据-取费表'!B23/2)-1)),4)</f>
        <v>1.4E-3</v>
      </c>
      <c r="D26" s="229"/>
      <c r="E26" s="232"/>
      <c r="F26" s="230"/>
      <c r="G26" s="234"/>
    </row>
    <row r="27" spans="1:7" s="205" customFormat="1" ht="24.75">
      <c r="A27" s="246" t="s">
        <v>1512</v>
      </c>
      <c r="B27" s="235" t="s">
        <v>1513</v>
      </c>
      <c r="C27" s="236">
        <f ca="1">C28</f>
        <v>2666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2666</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19501</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33</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81.66</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1.4E-3</v>
      </c>
      <c r="D44" s="229"/>
      <c r="E44" s="229"/>
      <c r="F44" s="230"/>
      <c r="G44" s="3375"/>
    </row>
    <row r="45" spans="1:7" s="205" customFormat="1" ht="13.5" customHeight="1">
      <c r="A45" s="246" t="s">
        <v>1547</v>
      </c>
      <c r="B45" s="235" t="s">
        <v>1513</v>
      </c>
      <c r="C45" s="236">
        <f ca="1">C46</f>
        <v>8</v>
      </c>
      <c r="D45" s="226">
        <f ca="1">C47</f>
        <v>4.0000000000000001E-3</v>
      </c>
      <c r="E45" s="227" t="s">
        <v>1539</v>
      </c>
      <c r="F45" s="237">
        <f ca="1">F27</f>
        <v>0.2</v>
      </c>
      <c r="G45" s="238" t="s">
        <v>1548</v>
      </c>
    </row>
    <row r="46" spans="1:7" s="205" customFormat="1" ht="13.5" customHeight="1">
      <c r="A46" s="733" t="s">
        <v>346</v>
      </c>
      <c r="B46" s="239" t="s">
        <v>1549</v>
      </c>
      <c r="C46" s="240">
        <f ca="1">ROUND((C33+C39)*F27,0)</f>
        <v>8</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54</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41</v>
      </c>
      <c r="D51" s="223"/>
      <c r="E51" s="223"/>
      <c r="F51" s="255"/>
      <c r="G51" s="225" t="s">
        <v>1560</v>
      </c>
    </row>
    <row r="52" spans="1:7" s="199" customFormat="1" ht="16.5" thickBot="1">
      <c r="A52" s="256" t="s">
        <v>1561</v>
      </c>
      <c r="B52" s="257"/>
      <c r="C52" s="258">
        <f ca="1">C31+C51</f>
        <v>19542</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1" t="str">
        <f>项目基本情况!B1</f>
        <v>北京市预评估</v>
      </c>
      <c r="C37" s="3191"/>
      <c r="D37" s="3191"/>
      <c r="E37" s="3191"/>
      <c r="F37" s="3191"/>
      <c r="G37" s="3191"/>
      <c r="H37" s="3191"/>
      <c r="I37" s="319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15540</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1903012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81.66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81.66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-13065</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81.66</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-13065</v>
      </c>
      <c r="D21" s="766"/>
      <c r="E21" s="272"/>
      <c r="F21" s="272"/>
      <c r="G21" s="122" t="s">
        <v>1629</v>
      </c>
      <c r="H21" s="758"/>
      <c r="I21" s="758"/>
      <c r="J21" s="758"/>
      <c r="K21" s="759"/>
    </row>
    <row r="22" spans="1:33" s="754" customFormat="1" ht="13.5" customHeight="1">
      <c r="A22" s="743" t="s">
        <v>1601</v>
      </c>
      <c r="B22" s="764" t="s">
        <v>1630</v>
      </c>
      <c r="C22" s="765">
        <f ca="1">ROUND(C21*F22,0)</f>
        <v>-261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-2665</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-2665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15540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8" t="s">
        <v>694</v>
      </c>
      <c r="C6" s="1010">
        <f ca="1">ROUND(F6*F8*F7*(1-F9)/10000,0)</f>
        <v>0</v>
      </c>
      <c r="D6" s="146" t="s">
        <v>2106</v>
      </c>
      <c r="E6" s="293" t="s">
        <v>696</v>
      </c>
      <c r="F6" s="294">
        <f ca="1">INDIRECT("'数据-取费表'!u"&amp;$G$1)</f>
        <v>0</v>
      </c>
      <c r="G6" s="1290"/>
      <c r="H6" s="1005" t="s">
        <v>398</v>
      </c>
      <c r="I6" s="3378" t="s">
        <v>694</v>
      </c>
      <c r="J6" s="292">
        <f ca="1">ROUND(M6*M8*M7*(1-M9)/10000,0)</f>
        <v>0</v>
      </c>
      <c r="K6" s="146" t="s">
        <v>2105</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0"/>
      <c r="H7" s="295"/>
      <c r="I7" s="3379"/>
      <c r="J7" s="297"/>
      <c r="K7" s="298"/>
      <c r="L7" s="293" t="s">
        <v>697</v>
      </c>
      <c r="M7" s="294">
        <f ca="1">F7</f>
        <v>0</v>
      </c>
    </row>
    <row r="8" spans="1:37" ht="18" customHeight="1">
      <c r="A8" s="295"/>
      <c r="B8" s="3379"/>
      <c r="C8" s="297"/>
      <c r="D8" s="298"/>
      <c r="E8" s="293" t="s">
        <v>698</v>
      </c>
      <c r="F8" s="294">
        <f ca="1">INDIRECT("'数据-取费表'!ai"&amp;$G$1)</f>
        <v>0</v>
      </c>
      <c r="G8" s="1290"/>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6" t="s">
        <v>837</v>
      </c>
      <c r="L53" s="337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F23" sqref="F2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48.09</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524.90409999999997</v>
      </c>
      <c r="C2" s="1287" t="s">
        <v>879</v>
      </c>
      <c r="D2" s="1373">
        <f ca="1">C40+J29+L46</f>
        <v>5249041</v>
      </c>
      <c r="E2" s="1293" t="s">
        <v>880</v>
      </c>
      <c r="F2" s="1294"/>
      <c r="G2" s="2473"/>
      <c r="H2" s="2463"/>
      <c r="I2" s="2463"/>
      <c r="J2" s="2463"/>
      <c r="K2" s="2464"/>
      <c r="L2" s="2463"/>
      <c r="M2" s="2463"/>
    </row>
    <row r="3" spans="1:37" ht="18" customHeight="1" thickBot="1">
      <c r="A3" s="1295" t="s">
        <v>881</v>
      </c>
      <c r="B3" s="1296">
        <f ca="1">IF(ISERROR(D2/F43),0,ROUND(D2/F43,0))</f>
        <v>64279</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171214</v>
      </c>
      <c r="D5" s="1271" t="s">
        <v>889</v>
      </c>
      <c r="E5" s="1007"/>
      <c r="F5" s="1008"/>
      <c r="G5" s="1290"/>
      <c r="H5" s="290">
        <v>1</v>
      </c>
      <c r="I5" s="291" t="s">
        <v>888</v>
      </c>
      <c r="J5" s="1006">
        <f ca="1">J6+J10+J12</f>
        <v>381.5123558650057</v>
      </c>
      <c r="K5" s="1271" t="s">
        <v>889</v>
      </c>
      <c r="L5" s="1007"/>
      <c r="M5" s="1008"/>
    </row>
    <row r="6" spans="1:37" ht="18" customHeight="1">
      <c r="A6" s="1005" t="s">
        <v>398</v>
      </c>
      <c r="B6" s="3378" t="s">
        <v>694</v>
      </c>
      <c r="C6" s="1010">
        <f ca="1">ROUND(F6*F8*F7*(1-F9),0)</f>
        <v>171000</v>
      </c>
      <c r="D6" s="146" t="s">
        <v>2103</v>
      </c>
      <c r="E6" s="293" t="s">
        <v>696</v>
      </c>
      <c r="F6" s="294">
        <f ca="1">INDIRECT("'数据-取费表'!u"&amp;$G$1)</f>
        <v>15000</v>
      </c>
      <c r="G6" s="1290"/>
      <c r="H6" s="1005" t="s">
        <v>398</v>
      </c>
      <c r="I6" s="3378" t="s">
        <v>694</v>
      </c>
      <c r="J6" s="292">
        <f ca="1">ROUND(M6*M8*M7*(1-M9),0)</f>
        <v>0</v>
      </c>
      <c r="K6" s="1282" t="s">
        <v>2104</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1</v>
      </c>
      <c r="G7" s="1290"/>
      <c r="H7" s="295"/>
      <c r="I7" s="3379"/>
      <c r="J7" s="297"/>
      <c r="K7" s="298"/>
      <c r="L7" s="293" t="s">
        <v>697</v>
      </c>
      <c r="M7" s="294">
        <f ca="1">F7</f>
        <v>1</v>
      </c>
    </row>
    <row r="8" spans="1:37" ht="18" customHeight="1">
      <c r="A8" s="295"/>
      <c r="B8" s="3379"/>
      <c r="C8" s="297"/>
      <c r="D8" s="298"/>
      <c r="E8" s="293" t="s">
        <v>698</v>
      </c>
      <c r="F8" s="294">
        <f ca="1">INDIRECT("'数据-取费表'!ai"&amp;$G$1)</f>
        <v>12</v>
      </c>
      <c r="G8" s="1290"/>
      <c r="H8" s="295"/>
      <c r="I8" s="3379"/>
      <c r="J8" s="297"/>
      <c r="K8" s="298"/>
      <c r="L8" s="293" t="s">
        <v>698</v>
      </c>
      <c r="M8" s="294">
        <f ca="1">INDIRECT("'数据-取费表'!ai"&amp;$G$1)</f>
        <v>12</v>
      </c>
    </row>
    <row r="9" spans="1:37" ht="18" customHeight="1">
      <c r="A9" s="295"/>
      <c r="B9" s="3380"/>
      <c r="C9" s="297"/>
      <c r="D9" s="298"/>
      <c r="E9" s="293" t="s">
        <v>699</v>
      </c>
      <c r="F9" s="303">
        <f ca="1">INDIRECT("'数据-取费表'!w"&amp;$G$1)</f>
        <v>0.05</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214</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395051</v>
      </c>
      <c r="D13" s="1017" t="s">
        <v>705</v>
      </c>
      <c r="E13" s="1017" t="s">
        <v>706</v>
      </c>
      <c r="F13" s="1018">
        <f ca="1">INDIRECT("'数据-取费表'!y"&amp;$G$1)</f>
        <v>0.75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326640</v>
      </c>
      <c r="D14" s="1255" t="s">
        <v>708</v>
      </c>
      <c r="E14" s="1253"/>
      <c r="F14" s="310"/>
      <c r="G14" s="1290"/>
      <c r="H14" s="927" t="s">
        <v>398</v>
      </c>
      <c r="I14" s="293" t="s">
        <v>709</v>
      </c>
      <c r="J14" s="21">
        <f ca="1">C29</f>
        <v>526735</v>
      </c>
      <c r="K14" s="12"/>
      <c r="L14" s="758"/>
      <c r="M14" s="759"/>
    </row>
    <row r="15" spans="1:37" s="1302" customFormat="1" ht="18" customHeight="1" thickBot="1">
      <c r="A15" s="927" t="s">
        <v>399</v>
      </c>
      <c r="B15" s="293" t="s">
        <v>710</v>
      </c>
      <c r="C15" s="21">
        <f ca="1">ROUND(C14*F15,0)</f>
        <v>9799</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16332</v>
      </c>
      <c r="D16" s="293" t="s">
        <v>711</v>
      </c>
      <c r="E16" s="293" t="s">
        <v>712</v>
      </c>
      <c r="F16" s="313">
        <f ca="1">IF(INDIRECT("'数据-取费表'!c"&amp;$G$1)="住宅",'数据-取费表'!B34,0)</f>
        <v>0.05</v>
      </c>
      <c r="G16" s="1290"/>
      <c r="H16" s="1015" t="s">
        <v>393</v>
      </c>
      <c r="I16" s="1016" t="s">
        <v>714</v>
      </c>
      <c r="J16" s="301">
        <f ca="1">ROUND(J17+J22+J23+J24,0)</f>
        <v>7905</v>
      </c>
      <c r="K16" s="1023" t="s">
        <v>715</v>
      </c>
      <c r="L16" s="1024"/>
      <c r="M16" s="1008"/>
    </row>
    <row r="17" spans="1:37" s="1302" customFormat="1" ht="18" customHeight="1">
      <c r="A17" s="927" t="s">
        <v>681</v>
      </c>
      <c r="B17" s="293" t="s">
        <v>716</v>
      </c>
      <c r="C17" s="21">
        <f ca="1">ROUND(F17*(F43+INDIRECT("'数据-取费表'!S"&amp;$G$1)),0)</f>
        <v>16332</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4900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374003</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7480</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7901</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27501</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5">
        <f ca="1">ROUND(IF('数据-取费表'!B22&lt;=1,F21*F24*F23/2,F21*(POWER((1+F24),F23/2)-1)),4)</f>
        <v>1.4E-3</v>
      </c>
      <c r="D24" s="137" t="str">
        <f>IF(F23&lt;=1,"销售费用×利率×(建设周期÷2)","销售费用×((1+利率)^(建设周期÷2)-1)")</f>
        <v>销售费用×((1+利率)^(建设周期÷2)-1)</v>
      </c>
      <c r="E24" s="293" t="s">
        <v>747</v>
      </c>
      <c r="F24" s="3182">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-7523.4876441349943</v>
      </c>
      <c r="K25" s="1031" t="s">
        <v>753</v>
      </c>
      <c r="L25" s="1032"/>
      <c r="M25" s="1033"/>
    </row>
    <row r="26" spans="1:37" ht="18" customHeight="1">
      <c r="A26" s="927" t="s">
        <v>397</v>
      </c>
      <c r="B26" s="293" t="s">
        <v>754</v>
      </c>
      <c r="C26" s="21">
        <f ca="1">ROUND((C19+C20)*F26,0)</f>
        <v>76297</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4.4999999999999998E-2</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526735</v>
      </c>
      <c r="D29" s="1028"/>
      <c r="E29" s="1026"/>
      <c r="F29" s="1029"/>
      <c r="G29" s="1301"/>
      <c r="H29" s="324" t="s">
        <v>396</v>
      </c>
      <c r="I29" s="325" t="s">
        <v>768</v>
      </c>
      <c r="J29" s="326">
        <f ca="1">ROUND(J26/(1+F40)^F41,0)</f>
        <v>0</v>
      </c>
      <c r="K29" s="327" t="s">
        <v>769</v>
      </c>
      <c r="L29" s="328"/>
      <c r="M29" s="329">
        <f ca="1">INDIRECT("'数据-取费表'!k"&amp;$G$1)</f>
        <v>81.66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14079</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4071</v>
      </c>
      <c r="D31" s="1255" t="s">
        <v>720</v>
      </c>
      <c r="E31" s="1254" t="s">
        <v>770</v>
      </c>
      <c r="F31" s="2134">
        <f ca="1">IF(项目基本情况!B11="企业","——",IF(M47="住宅",IF(F6*F7*F8/12/(1+'数据-取费表'!F30)&gt;100000,4%,2.5%),IF(F6*F7*F8/12/(1+'数据-取费表'!F30)&gt;100000,12%,7%)))</f>
        <v>2.5000000000000001E-2</v>
      </c>
      <c r="G31" s="1290"/>
      <c r="H31" s="3190"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7901</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395</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1712</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157135</v>
      </c>
      <c r="D39" s="1031" t="s">
        <v>773</v>
      </c>
      <c r="E39" s="1032"/>
      <c r="F39" s="1033"/>
      <c r="G39" s="1290"/>
      <c r="H39" s="2468"/>
      <c r="I39" s="1303"/>
      <c r="J39" s="1304"/>
      <c r="K39" s="2466"/>
      <c r="L39" s="2468"/>
      <c r="M39" s="2468"/>
    </row>
    <row r="40" spans="1:18" ht="18" customHeight="1">
      <c r="A40" s="290" t="s">
        <v>395</v>
      </c>
      <c r="B40" s="291" t="s">
        <v>774</v>
      </c>
      <c r="C40" s="292">
        <f ca="1">ROUND(C39*(1-((1+F42)/(1+F40))^F41)/(F40-F42),0)</f>
        <v>5249041</v>
      </c>
      <c r="D40" s="315" t="s">
        <v>758</v>
      </c>
      <c r="E40" s="293" t="s">
        <v>759</v>
      </c>
      <c r="F40" s="303">
        <f ca="1">INDIRECT("'数据-取费表'!I"&amp;$G$1)</f>
        <v>4.4999999999999998E-2</v>
      </c>
      <c r="G40" s="1290"/>
      <c r="H40" s="1364"/>
      <c r="I40" s="1303"/>
      <c r="J40" s="1304"/>
      <c r="K40" s="2466"/>
      <c r="L40" s="1364"/>
      <c r="M40" s="1364"/>
    </row>
    <row r="41" spans="1:18" ht="18" customHeight="1">
      <c r="A41" s="295"/>
      <c r="B41" s="296"/>
      <c r="C41" s="297"/>
      <c r="D41" s="322" t="s">
        <v>775</v>
      </c>
      <c r="E41" s="293" t="s">
        <v>763</v>
      </c>
      <c r="F41" s="3184">
        <f ca="1">IF(INDIRECT("'数据-取费表'!af"&amp;$G$1)=0,INDIRECT("'数据-取费表'!ae"&amp;$G$1),INDIRECT("'数据-取费表'!af"&amp;$G$1))</f>
        <v>48.09</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64279</v>
      </c>
      <c r="D43" s="327" t="s">
        <v>777</v>
      </c>
      <c r="E43" s="328" t="s">
        <v>778</v>
      </c>
      <c r="F43" s="329">
        <f ca="1">INDIRECT("'数据-取费表'!k"&amp;$G$1)</f>
        <v>81.66</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-541.11969999999997</v>
      </c>
      <c r="D45" s="3124" t="s">
        <v>3353</v>
      </c>
      <c r="E45" s="1305"/>
      <c r="F45" s="1305"/>
      <c r="O45" s="1308" t="s">
        <v>808</v>
      </c>
      <c r="P45" s="1364"/>
      <c r="Q45" s="1364"/>
      <c r="R45" s="1364"/>
    </row>
    <row r="46" spans="1:18" s="1290" customFormat="1" ht="13.5" thickBot="1">
      <c r="A46" s="1309" t="s">
        <v>809</v>
      </c>
      <c r="C46" s="1310">
        <f ca="1">ROUND(C45,0)</f>
        <v>-541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5249041</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48.09</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2003</v>
      </c>
      <c r="K49" s="1328" t="s">
        <v>824</v>
      </c>
      <c r="L49" s="1331"/>
      <c r="O49" s="1332" t="s">
        <v>405</v>
      </c>
      <c r="P49" s="1324" t="s">
        <v>825</v>
      </c>
      <c r="Q49" s="1325">
        <f ca="1">C29</f>
        <v>526735</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39</v>
      </c>
      <c r="K51" s="1337" t="s">
        <v>830</v>
      </c>
      <c r="L51" s="1338">
        <f ca="1">ROUND(-PV(INDIRECT("'数据-取费表'!h"&amp;$G$1),J51,(C39-C13*C76),0),0)</f>
        <v>2815747</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48.09</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48.09</v>
      </c>
      <c r="K53" s="3376" t="s">
        <v>837</v>
      </c>
      <c r="L53" s="3377"/>
      <c r="O53" s="1323" t="s">
        <v>409</v>
      </c>
      <c r="P53" s="1324" t="s">
        <v>838</v>
      </c>
      <c r="Q53" s="1325">
        <f ca="1">Q47+Q48</f>
        <v>5249041</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395051</v>
      </c>
      <c r="D56" s="1350"/>
      <c r="E56" s="1351"/>
      <c r="F56" s="1343"/>
      <c r="I56" s="1352" t="s">
        <v>842</v>
      </c>
      <c r="J56" s="1353" t="s">
        <v>3398</v>
      </c>
      <c r="K56" s="1326" t="s">
        <v>843</v>
      </c>
      <c r="L56" s="1329">
        <f ca="1">IF(L48&lt;J51,"——",L48-J51)</f>
        <v>9.0900000000000034</v>
      </c>
      <c r="O56" s="1323" t="s">
        <v>403</v>
      </c>
      <c r="P56" s="1324" t="s">
        <v>817</v>
      </c>
      <c r="Q56" s="1325">
        <f ca="1">C40+J29</f>
        <v>5249041</v>
      </c>
      <c r="R56" s="1325" t="s">
        <v>818</v>
      </c>
    </row>
    <row r="57" spans="1:18" s="1290" customFormat="1" ht="24.75" thickBot="1">
      <c r="A57" s="1354"/>
      <c r="B57" s="895" t="s">
        <v>767</v>
      </c>
      <c r="C57" s="229">
        <f ca="1">C29</f>
        <v>526735</v>
      </c>
      <c r="D57" s="1355"/>
      <c r="E57" s="1356"/>
      <c r="F57" s="1357"/>
      <c r="I57" s="1358" t="s">
        <v>844</v>
      </c>
      <c r="J57" s="1359" t="str">
        <f ca="1">IF(OR(M47="住宅",J51&lt;L48,J56="是"),"——",J51-L48)</f>
        <v>——</v>
      </c>
      <c r="K57" s="1326" t="s">
        <v>892</v>
      </c>
      <c r="L57" s="1329">
        <f ca="1">IF(L48&lt;J51,"——",IF(L55="比较法",L49,IF(L55="基准地价",L50,L51)))</f>
        <v>2815747</v>
      </c>
      <c r="O57" s="1323" t="s">
        <v>404</v>
      </c>
      <c r="P57" s="1324" t="s">
        <v>893</v>
      </c>
      <c r="Q57" s="1325">
        <f ca="1">L60</f>
        <v>0</v>
      </c>
      <c r="R57" s="1325" t="s">
        <v>894</v>
      </c>
    </row>
    <row r="58" spans="1:18" s="1290" customFormat="1" ht="24.75" thickBot="1">
      <c r="A58" s="306" t="s">
        <v>393</v>
      </c>
      <c r="B58" s="903" t="s">
        <v>714</v>
      </c>
      <c r="C58" s="307">
        <f ca="1">ROUND(C59+C64+C65+C66,0)</f>
        <v>8296</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5249041</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7901</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395</v>
      </c>
      <c r="D65" s="909" t="s">
        <v>743</v>
      </c>
      <c r="E65" s="895" t="s">
        <v>744</v>
      </c>
      <c r="F65" s="320">
        <f t="shared" ca="1" si="0"/>
        <v>1E-3</v>
      </c>
      <c r="I65" s="1365" t="s">
        <v>867</v>
      </c>
      <c r="J65" s="609">
        <v>40</v>
      </c>
      <c r="K65" s="609">
        <v>30</v>
      </c>
      <c r="L65" s="609">
        <v>50</v>
      </c>
      <c r="M65" s="1367">
        <v>0.02</v>
      </c>
      <c r="O65" s="1323" t="s">
        <v>403</v>
      </c>
      <c r="P65" s="1324" t="s">
        <v>868</v>
      </c>
      <c r="Q65" s="1325">
        <f ca="1">C40+J29</f>
        <v>5249041</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-8296</v>
      </c>
      <c r="D67" s="908" t="s">
        <v>753</v>
      </c>
      <c r="E67" s="913"/>
      <c r="F67" s="914"/>
      <c r="O67" s="1332" t="s">
        <v>405</v>
      </c>
      <c r="P67" s="1324" t="s">
        <v>850</v>
      </c>
      <c r="Q67" s="1368">
        <f ca="1">L51</f>
        <v>2815747</v>
      </c>
      <c r="R67" s="1325" t="s">
        <v>870</v>
      </c>
    </row>
    <row r="68" spans="1:18" s="1290" customFormat="1" ht="16.5" thickBot="1">
      <c r="A68" s="892" t="s">
        <v>395</v>
      </c>
      <c r="B68" s="893" t="s">
        <v>774</v>
      </c>
      <c r="C68" s="292">
        <f ca="1">ROUND(C67*(1-((1+F70)/(1+F68))^F69)/(F68-F70),0)</f>
        <v>-162156</v>
      </c>
      <c r="D68" s="910" t="s">
        <v>758</v>
      </c>
      <c r="E68" s="895" t="s">
        <v>759</v>
      </c>
      <c r="F68" s="303">
        <f ca="1">F40</f>
        <v>4.4999999999999998E-2</v>
      </c>
      <c r="O68" s="1332" t="s">
        <v>406</v>
      </c>
      <c r="P68" s="1369" t="s">
        <v>871</v>
      </c>
      <c r="Q68" s="1325">
        <f ca="1">ROUND(Q69-Q70*Q71,0)</f>
        <v>133432</v>
      </c>
      <c r="R68" s="1325" t="s">
        <v>414</v>
      </c>
    </row>
    <row r="69" spans="1:18" s="1290" customFormat="1" ht="13.5" thickBot="1">
      <c r="A69" s="896"/>
      <c r="B69" s="897"/>
      <c r="C69" s="297"/>
      <c r="D69" s="915" t="s">
        <v>762</v>
      </c>
      <c r="E69" s="895" t="s">
        <v>763</v>
      </c>
      <c r="F69" s="323">
        <f ca="1">F41</f>
        <v>48.09</v>
      </c>
      <c r="O69" s="1332" t="s">
        <v>411</v>
      </c>
      <c r="P69" s="1369" t="s">
        <v>872</v>
      </c>
      <c r="Q69" s="1325">
        <f ca="1">C39</f>
        <v>157135</v>
      </c>
      <c r="R69" s="1325" t="s">
        <v>818</v>
      </c>
    </row>
    <row r="70" spans="1:18" s="1290" customFormat="1" ht="13.5" thickBot="1">
      <c r="A70" s="899"/>
      <c r="B70" s="900"/>
      <c r="C70" s="301"/>
      <c r="D70" s="911"/>
      <c r="E70" s="895" t="s">
        <v>766</v>
      </c>
      <c r="F70" s="990"/>
      <c r="O70" s="1332" t="s">
        <v>412</v>
      </c>
      <c r="P70" s="1369" t="s">
        <v>873</v>
      </c>
      <c r="Q70" s="1325">
        <f ca="1">C13</f>
        <v>395051</v>
      </c>
      <c r="R70" s="1325" t="s">
        <v>818</v>
      </c>
    </row>
    <row r="71" spans="1:18" s="1290" customFormat="1" ht="13.5" thickBot="1">
      <c r="A71" s="916" t="s">
        <v>396</v>
      </c>
      <c r="B71" s="917" t="s">
        <v>776</v>
      </c>
      <c r="C71" s="326">
        <f ca="1">ROUND(C68/F71,0)</f>
        <v>-1986</v>
      </c>
      <c r="D71" s="918" t="s">
        <v>777</v>
      </c>
      <c r="E71" s="919" t="s">
        <v>778</v>
      </c>
      <c r="F71" s="329">
        <f ca="1">F43</f>
        <v>81.66</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23703</v>
      </c>
      <c r="D75" s="1290"/>
      <c r="E75" s="1290"/>
      <c r="F75" s="1290"/>
      <c r="K75" s="1307"/>
      <c r="L75" s="1290"/>
      <c r="O75" s="1323" t="s">
        <v>409</v>
      </c>
      <c r="P75" s="1324" t="s">
        <v>838</v>
      </c>
      <c r="Q75" s="1325">
        <f ca="1">Q65+Q66</f>
        <v>5249041</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0.84899999999999998</v>
      </c>
    </row>
    <row r="80" spans="1:18">
      <c r="B80" s="330" t="s">
        <v>800</v>
      </c>
      <c r="C80" s="265">
        <f ca="1">ROUND(C75/C39,3)</f>
        <v>0.151</v>
      </c>
    </row>
    <row r="81" spans="2:3">
      <c r="B81" s="261" t="s">
        <v>801</v>
      </c>
      <c r="C81" s="229"/>
    </row>
    <row r="82" spans="2:3">
      <c r="B82" s="264" t="s">
        <v>802</v>
      </c>
      <c r="C82" s="266">
        <f ca="1">1-C83</f>
        <v>0.92500000000000004</v>
      </c>
    </row>
    <row r="83" spans="2:3">
      <c r="B83" s="264" t="s">
        <v>803</v>
      </c>
      <c r="C83" s="265">
        <f ca="1">ROUND(C13/C40,3)</f>
        <v>7.4999999999999997E-2</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7" t="s">
        <v>2315</v>
      </c>
      <c r="K2" s="3388"/>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9" t="s">
        <v>2325</v>
      </c>
      <c r="K3" s="3390"/>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9" t="s">
        <v>2327</v>
      </c>
      <c r="K4" s="3390"/>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95" t="s">
        <v>2331</v>
      </c>
      <c r="B6" s="3396"/>
      <c r="C6" s="3397"/>
      <c r="D6" s="2615"/>
      <c r="E6" s="2616"/>
      <c r="F6" s="2617"/>
      <c r="G6" s="2618"/>
      <c r="H6" s="2593"/>
      <c r="I6" s="2594"/>
      <c r="J6" s="3381">
        <v>1</v>
      </c>
      <c r="K6" s="3382"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1"/>
      <c r="K7" s="3383"/>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8" t="s">
        <v>2345</v>
      </c>
      <c r="C8" s="3399"/>
      <c r="D8" s="2634" t="s">
        <v>2346</v>
      </c>
      <c r="E8" s="2635" t="s">
        <v>2347</v>
      </c>
      <c r="F8" s="2636" t="s">
        <v>2348</v>
      </c>
      <c r="G8" s="2637"/>
      <c r="H8" s="2593"/>
      <c r="I8" s="2594"/>
      <c r="J8" s="3381"/>
      <c r="K8" s="3383"/>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8" t="s">
        <v>2351</v>
      </c>
      <c r="C9" s="3399"/>
      <c r="D9" s="2634">
        <f>ROUND(D6*E9,0)</f>
        <v>0</v>
      </c>
      <c r="E9" s="2638"/>
      <c r="F9" s="2639" t="s">
        <v>2352</v>
      </c>
      <c r="G9" s="2618"/>
      <c r="H9" s="2593"/>
      <c r="I9" s="2594"/>
      <c r="J9" s="3381"/>
      <c r="K9" s="3383"/>
      <c r="L9" s="2628" t="s">
        <v>2353</v>
      </c>
      <c r="M9" s="2629"/>
      <c r="N9" s="2605"/>
      <c r="O9" s="2630"/>
      <c r="P9" s="2630"/>
      <c r="Q9" s="2631">
        <v>365</v>
      </c>
      <c r="R9" s="2632">
        <f t="shared" si="0"/>
        <v>0</v>
      </c>
      <c r="S9" s="2586"/>
      <c r="T9" s="2586"/>
      <c r="U9" s="2586"/>
      <c r="V9" s="2594"/>
    </row>
    <row r="10" spans="1:22" s="2598" customFormat="1" ht="13.15" customHeight="1">
      <c r="A10" s="2633">
        <v>2</v>
      </c>
      <c r="B10" s="3398" t="s">
        <v>2354</v>
      </c>
      <c r="C10" s="3399"/>
      <c r="D10" s="2634">
        <f>ROUND(D6*E10,0)</f>
        <v>0</v>
      </c>
      <c r="E10" s="2638"/>
      <c r="F10" s="2639" t="s">
        <v>2355</v>
      </c>
      <c r="G10" s="2618"/>
      <c r="H10" s="2593"/>
      <c r="I10" s="2594"/>
      <c r="J10" s="3381"/>
      <c r="K10" s="3383"/>
      <c r="L10" s="2628" t="s">
        <v>2356</v>
      </c>
      <c r="M10" s="2629"/>
      <c r="N10" s="2605"/>
      <c r="O10" s="2630"/>
      <c r="P10" s="2630"/>
      <c r="Q10" s="2631">
        <v>365</v>
      </c>
      <c r="R10" s="2632">
        <f t="shared" si="0"/>
        <v>0</v>
      </c>
      <c r="S10" s="2586"/>
      <c r="T10" s="2586"/>
      <c r="U10" s="2586"/>
      <c r="V10" s="2594"/>
    </row>
    <row r="11" spans="1:22" s="2598" customFormat="1" ht="13.15" customHeight="1">
      <c r="A11" s="2633">
        <v>3</v>
      </c>
      <c r="B11" s="3398" t="s">
        <v>2357</v>
      </c>
      <c r="C11" s="3399"/>
      <c r="D11" s="2634">
        <f>D12+D14+D15+D16</f>
        <v>0</v>
      </c>
      <c r="E11" s="2640" t="e">
        <f>D11/D6</f>
        <v>#DIV/0!</v>
      </c>
      <c r="F11" s="2636"/>
      <c r="G11" s="2637"/>
      <c r="H11" s="2593"/>
      <c r="I11" s="2594"/>
      <c r="J11" s="3381"/>
      <c r="K11" s="3383"/>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1" t="s">
        <v>2360</v>
      </c>
      <c r="C12" s="3392"/>
      <c r="D12" s="2642">
        <f>ROUND(D13*1.2%*(1-30%),0)</f>
        <v>0</v>
      </c>
      <c r="E12" s="2643">
        <v>1.2E-2</v>
      </c>
      <c r="F12" s="2636" t="s">
        <v>2361</v>
      </c>
      <c r="G12" s="2637"/>
      <c r="H12" s="2593"/>
      <c r="I12" s="2594"/>
      <c r="J12" s="3381"/>
      <c r="K12" s="3383"/>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1"/>
      <c r="K13" s="3383"/>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1" t="s">
        <v>2366</v>
      </c>
      <c r="C14" s="3392"/>
      <c r="D14" s="2642">
        <f>ROUND(E14*B5/10000,0)</f>
        <v>0</v>
      </c>
      <c r="E14" s="2631"/>
      <c r="F14" s="2636" t="s">
        <v>2367</v>
      </c>
      <c r="G14" s="2637"/>
      <c r="H14" s="2593"/>
      <c r="I14" s="2594"/>
      <c r="J14" s="3381"/>
      <c r="K14" s="3384"/>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1" t="s">
        <v>2370</v>
      </c>
      <c r="C15" s="3392"/>
      <c r="D15" s="2642">
        <f>ROUND(D6*E15,0)</f>
        <v>0</v>
      </c>
      <c r="E15" s="2643">
        <v>5.5E-2</v>
      </c>
      <c r="F15" s="2636" t="s">
        <v>2371</v>
      </c>
      <c r="G15" s="2618"/>
      <c r="H15" s="2593"/>
      <c r="I15" s="2594"/>
      <c r="J15" s="3381">
        <v>2</v>
      </c>
      <c r="K15" s="3382"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1" t="s">
        <v>2379</v>
      </c>
      <c r="C16" s="3392"/>
      <c r="D16" s="2653">
        <f>D6*E16</f>
        <v>0</v>
      </c>
      <c r="E16" s="2654"/>
      <c r="F16" s="2639" t="s">
        <v>2380</v>
      </c>
      <c r="G16" s="2618"/>
      <c r="H16" s="2593"/>
      <c r="I16" s="2594"/>
      <c r="J16" s="3381"/>
      <c r="K16" s="3383"/>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3" t="s">
        <v>2382</v>
      </c>
      <c r="C17" s="3394"/>
      <c r="D17" s="2656">
        <f>ROUND(D6*E17,0)</f>
        <v>0</v>
      </c>
      <c r="E17" s="2657"/>
      <c r="F17" s="2658" t="s">
        <v>2383</v>
      </c>
      <c r="G17" s="2618"/>
      <c r="H17" s="2593"/>
      <c r="I17" s="2594"/>
      <c r="J17" s="3381"/>
      <c r="K17" s="3383"/>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1"/>
      <c r="K18" s="3383"/>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1"/>
      <c r="K19" s="3384"/>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1">
        <v>3</v>
      </c>
      <c r="K20" s="3382"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1"/>
      <c r="K21" s="3383"/>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1"/>
      <c r="K22" s="3383"/>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1"/>
      <c r="K23" s="3383"/>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1"/>
      <c r="K24" s="3384"/>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85">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86"/>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7" t="s">
        <v>2315</v>
      </c>
      <c r="K32" s="3388"/>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9" t="s">
        <v>2325</v>
      </c>
      <c r="K33" s="3390"/>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9" t="s">
        <v>2327</v>
      </c>
      <c r="K34" s="3390"/>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1">
        <v>1</v>
      </c>
      <c r="K36" s="3382"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1"/>
      <c r="K37" s="3383"/>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1"/>
      <c r="K38" s="3383"/>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1"/>
      <c r="K39" s="3383"/>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1"/>
      <c r="K40" s="3384"/>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85">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86"/>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524.90409999999997</v>
      </c>
      <c r="C2" s="1727" t="s">
        <v>1651</v>
      </c>
      <c r="D2" s="1728" t="s">
        <v>1652</v>
      </c>
      <c r="E2" s="2387">
        <f>SUM(E6:E13)</f>
        <v>81.66</v>
      </c>
      <c r="F2" s="2474"/>
      <c r="G2" s="458"/>
      <c r="H2" s="458"/>
      <c r="I2" s="458"/>
      <c r="J2" s="458"/>
      <c r="K2" s="458"/>
      <c r="L2" s="458"/>
      <c r="M2" s="458"/>
      <c r="N2" s="458"/>
      <c r="O2" s="458"/>
      <c r="P2" s="458"/>
      <c r="Q2" s="458"/>
      <c r="R2" s="458"/>
      <c r="S2" s="458"/>
    </row>
    <row r="3" spans="1:22" ht="15.75">
      <c r="A3" s="1726" t="s">
        <v>686</v>
      </c>
      <c r="B3" s="2381">
        <f ca="1">ROUND(B2*10000/E2,0)</f>
        <v>64279</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0" t="s">
        <v>1654</v>
      </c>
      <c r="C5" s="34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524.90409999999997</v>
      </c>
      <c r="C6" s="1727" t="s">
        <v>1651</v>
      </c>
      <c r="D6" s="2474"/>
      <c r="E6" s="2386">
        <f>IF(OR(A6=0,F6="否"),0,'数据-取费表'!K6+'数据-取费表'!S6)</f>
        <v>81.66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1" zoomScale="90" zoomScaleNormal="60" zoomScaleSheetLayoutView="90" workbookViewId="0">
      <selection activeCell="C29" sqref="C2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719.0326</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88052</v>
      </c>
      <c r="C3" s="343" t="s">
        <v>1665</v>
      </c>
      <c r="D3" s="342">
        <f>IF(D1="",'数据-汇总表'!E3,SUMIF('数据-汇总表'!$C19:$C33,D1,'数据-汇总表'!$E19:$E33))</f>
        <v>81.66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0" t="s">
        <v>1667</v>
      </c>
      <c r="D4" s="3421"/>
      <c r="E4" s="3422" t="s">
        <v>1668</v>
      </c>
      <c r="F4" s="3423"/>
      <c r="G4" s="3420" t="s">
        <v>1669</v>
      </c>
      <c r="H4" s="3421"/>
      <c r="I4" s="3420" t="s">
        <v>1670</v>
      </c>
      <c r="J4" s="3421"/>
      <c r="K4" s="1742" t="s">
        <v>1671</v>
      </c>
      <c r="L4" s="2481"/>
      <c r="M4" s="2482"/>
      <c r="N4" s="2482"/>
      <c r="O4" s="2482"/>
      <c r="P4" s="3424" t="s">
        <v>1672</v>
      </c>
      <c r="Q4" s="3425"/>
      <c r="R4" s="3430" t="s">
        <v>1668</v>
      </c>
      <c r="S4" s="3431"/>
      <c r="T4" s="3430" t="s">
        <v>1669</v>
      </c>
      <c r="U4" s="3431"/>
      <c r="V4" s="3406" t="s">
        <v>1670</v>
      </c>
      <c r="W4" s="3406"/>
      <c r="X4" s="1263"/>
      <c r="Y4" s="3430" t="s">
        <v>1672</v>
      </c>
      <c r="Z4" s="3431"/>
      <c r="AA4" s="3417" t="s">
        <v>1668</v>
      </c>
      <c r="AB4" s="3417" t="s">
        <v>1669</v>
      </c>
      <c r="AC4" s="3417" t="s">
        <v>1670</v>
      </c>
    </row>
    <row r="5" spans="1:29" ht="15">
      <c r="A5" s="347"/>
      <c r="B5" s="348"/>
      <c r="C5" s="3443" t="s">
        <v>3474</v>
      </c>
      <c r="D5" s="3439"/>
      <c r="E5" s="3446" t="str">
        <f>案例!C2</f>
        <v>世贸国际公寓</v>
      </c>
      <c r="F5" s="3447"/>
      <c r="G5" s="3438" t="str">
        <f>案例!C3</f>
        <v>财富中心</v>
      </c>
      <c r="H5" s="3439"/>
      <c r="I5" s="3438" t="str">
        <f>案例!C4</f>
        <v>新城国际</v>
      </c>
      <c r="J5" s="3439"/>
      <c r="K5" s="1743"/>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1743"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45435</v>
      </c>
      <c r="D7" s="354">
        <v>100</v>
      </c>
      <c r="E7" s="355">
        <f>案例!L2</f>
        <v>45302</v>
      </c>
      <c r="F7" s="356">
        <f>SUMIF(58:58,YEAR(E7)&amp;"-"&amp;MONTH(E7),59:59)</f>
        <v>100.5</v>
      </c>
      <c r="G7" s="355">
        <f>案例!L3</f>
        <v>45170</v>
      </c>
      <c r="H7" s="354">
        <f>SUMIF(58:58,YEAR(G7)&amp;"-"&amp;MONTH(G7),59:59)</f>
        <v>101.5</v>
      </c>
      <c r="I7" s="355">
        <f>案例!L4</f>
        <v>45427</v>
      </c>
      <c r="J7" s="354">
        <f>SUMIF(58:58,YEAR(I7)&amp;"-"&amp;MONTH(I7),59:59)</f>
        <v>100</v>
      </c>
      <c r="K7" s="3176"/>
      <c r="L7" s="2483"/>
      <c r="M7" s="2434"/>
      <c r="N7" s="2434"/>
      <c r="O7" s="2434"/>
      <c r="P7" s="3440" t="s">
        <v>1680</v>
      </c>
      <c r="Q7" s="3442"/>
      <c r="R7" s="663" t="s">
        <v>20</v>
      </c>
      <c r="S7" s="664">
        <f t="shared" ref="S7:S15" si="0">F7</f>
        <v>100.5</v>
      </c>
      <c r="T7" s="663" t="s">
        <v>20</v>
      </c>
      <c r="U7" s="664">
        <f t="shared" ref="U7:U15" si="1">H7</f>
        <v>101.5</v>
      </c>
      <c r="V7" s="663" t="s">
        <v>20</v>
      </c>
      <c r="W7" s="664">
        <f t="shared" ref="W7:W15" si="2">J7</f>
        <v>100</v>
      </c>
      <c r="X7" s="665"/>
      <c r="Y7" s="3440" t="s">
        <v>1680</v>
      </c>
      <c r="Z7" s="3441"/>
      <c r="AA7" s="50">
        <f>D7/F7</f>
        <v>0.99502487562189057</v>
      </c>
      <c r="AB7" s="50">
        <f>D7/H7</f>
        <v>0.98522167487684731</v>
      </c>
      <c r="AC7" s="50">
        <f>D7/J7</f>
        <v>1</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40" t="s">
        <v>1683</v>
      </c>
      <c r="Q8" s="3441"/>
      <c r="R8" s="663" t="s">
        <v>20</v>
      </c>
      <c r="S8" s="664">
        <f t="shared" si="0"/>
        <v>100</v>
      </c>
      <c r="T8" s="663" t="s">
        <v>20</v>
      </c>
      <c r="U8" s="664">
        <f t="shared" si="1"/>
        <v>100</v>
      </c>
      <c r="V8" s="663" t="s">
        <v>20</v>
      </c>
      <c r="W8" s="664">
        <f t="shared" si="2"/>
        <v>100</v>
      </c>
      <c r="X8" s="665"/>
      <c r="Y8" s="3440" t="s">
        <v>1683</v>
      </c>
      <c r="Z8" s="3441"/>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15.75" thickBot="1">
      <c r="A10" s="362"/>
      <c r="B10" s="3174" t="s">
        <v>3453</v>
      </c>
      <c r="C10" s="3180" t="s">
        <v>3455</v>
      </c>
      <c r="D10" s="118">
        <v>100</v>
      </c>
      <c r="E10" s="3177" t="s">
        <v>3454</v>
      </c>
      <c r="F10" s="363">
        <f>SUMIF(65:65,E10,66:66)-SUMIF(65:65,C10,66:66)+100</f>
        <v>100</v>
      </c>
      <c r="G10" s="3177" t="s">
        <v>3454</v>
      </c>
      <c r="H10" s="118">
        <f>SUMIF(65:65,G10,66:66)-SUMIF(65:65,C10,66:66)+100</f>
        <v>100</v>
      </c>
      <c r="I10" s="3177" t="s">
        <v>3454</v>
      </c>
      <c r="J10" s="118">
        <f>SUMIF(65:65,I10,66:66)-SUMIF(65:65,C10,66:66)+100</f>
        <v>100</v>
      </c>
      <c r="K10" s="1744"/>
      <c r="L10" s="2484"/>
      <c r="M10" s="2485"/>
      <c r="N10" s="2485"/>
      <c r="O10" s="2485"/>
      <c r="P10" s="3416"/>
      <c r="Q10" s="529" t="str">
        <f t="shared" si="6"/>
        <v>房屋性质</v>
      </c>
      <c r="R10" s="663" t="s">
        <v>14</v>
      </c>
      <c r="S10" s="664">
        <f t="shared" si="0"/>
        <v>100</v>
      </c>
      <c r="T10" s="663" t="s">
        <v>14</v>
      </c>
      <c r="U10" s="664">
        <f t="shared" si="1"/>
        <v>100</v>
      </c>
      <c r="V10" s="663" t="s">
        <v>14</v>
      </c>
      <c r="W10" s="664">
        <f t="shared" si="2"/>
        <v>100</v>
      </c>
      <c r="X10" s="665"/>
      <c r="Y10" s="3280"/>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6"/>
      <c r="Q11" s="529" t="str">
        <f t="shared" si="6"/>
        <v>容积率</v>
      </c>
      <c r="R11" s="663" t="s">
        <v>18</v>
      </c>
      <c r="S11" s="664">
        <f t="shared" si="0"/>
        <v>100</v>
      </c>
      <c r="T11" s="663" t="s">
        <v>18</v>
      </c>
      <c r="U11" s="664">
        <f t="shared" si="1"/>
        <v>100</v>
      </c>
      <c r="V11" s="663" t="s">
        <v>18</v>
      </c>
      <c r="W11" s="664">
        <f t="shared" si="2"/>
        <v>100</v>
      </c>
      <c r="X11" s="665"/>
      <c r="Y11" s="3280"/>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6"/>
      <c r="Q12" s="529">
        <f t="shared" si="6"/>
        <v>111</v>
      </c>
      <c r="R12" s="663" t="s">
        <v>18</v>
      </c>
      <c r="S12" s="664">
        <f t="shared" si="0"/>
        <v>100</v>
      </c>
      <c r="T12" s="663" t="s">
        <v>18</v>
      </c>
      <c r="U12" s="664">
        <f t="shared" si="1"/>
        <v>100</v>
      </c>
      <c r="V12" s="663" t="s">
        <v>18</v>
      </c>
      <c r="W12" s="664">
        <f t="shared" si="2"/>
        <v>100</v>
      </c>
      <c r="X12" s="665"/>
      <c r="Y12" s="3280"/>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6"/>
      <c r="Q13" s="529">
        <f t="shared" si="6"/>
        <v>111</v>
      </c>
      <c r="R13" s="663" t="s">
        <v>18</v>
      </c>
      <c r="S13" s="664">
        <f t="shared" si="0"/>
        <v>100</v>
      </c>
      <c r="T13" s="663" t="s">
        <v>18</v>
      </c>
      <c r="U13" s="664">
        <f t="shared" si="1"/>
        <v>100</v>
      </c>
      <c r="V13" s="663" t="s">
        <v>18</v>
      </c>
      <c r="W13" s="664">
        <f t="shared" si="2"/>
        <v>100</v>
      </c>
      <c r="X13" s="665"/>
      <c r="Y13" s="3280"/>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6"/>
      <c r="Q14" s="529">
        <f t="shared" si="6"/>
        <v>111</v>
      </c>
      <c r="R14" s="663" t="s">
        <v>18</v>
      </c>
      <c r="S14" s="664">
        <f t="shared" si="0"/>
        <v>100</v>
      </c>
      <c r="T14" s="663" t="s">
        <v>18</v>
      </c>
      <c r="U14" s="664">
        <f t="shared" si="1"/>
        <v>100</v>
      </c>
      <c r="V14" s="663" t="s">
        <v>18</v>
      </c>
      <c r="W14" s="664">
        <f t="shared" si="2"/>
        <v>100</v>
      </c>
      <c r="X14" s="665"/>
      <c r="Y14" s="3280"/>
      <c r="Z14" s="50">
        <f t="shared" si="7"/>
        <v>111</v>
      </c>
      <c r="AA14" s="50">
        <f t="shared" si="3"/>
        <v>1</v>
      </c>
      <c r="AB14" s="50">
        <f t="shared" si="4"/>
        <v>1</v>
      </c>
      <c r="AC14" s="50">
        <f t="shared" si="5"/>
        <v>1</v>
      </c>
    </row>
    <row r="15" spans="1:29" ht="41.25" customHeight="1">
      <c r="A15" s="378" t="s">
        <v>1690</v>
      </c>
      <c r="B15" s="58" t="s">
        <v>1257</v>
      </c>
      <c r="C15" s="1747" t="str">
        <f>估价对象房地状况!C3</f>
        <v>周边有新城国际公寓、世贸国际公寓、温莎大道等住宅小区，居住社区成熟度好。</v>
      </c>
      <c r="D15" s="379">
        <v>100</v>
      </c>
      <c r="E15" s="3156" t="str">
        <f>估价对象房地状况!C3</f>
        <v>周边有新城国际公寓、世贸国际公寓、温莎大道等住宅小区，居住社区成熟度好。</v>
      </c>
      <c r="F15" s="379">
        <f>SUMIF(76:76,E16,77:77)-SUMIF(76:76,C16,77:77)+100</f>
        <v>100</v>
      </c>
      <c r="G15" s="3156" t="str">
        <f>C15</f>
        <v>周边有新城国际公寓、世贸国际公寓、温莎大道等住宅小区，居住社区成熟度好。</v>
      </c>
      <c r="H15" s="379">
        <f>SUMIF(76:76,G16,77:77)-SUMIF(76:76,C16,77:77)+100</f>
        <v>100</v>
      </c>
      <c r="I15" s="3156" t="str">
        <f>G15</f>
        <v>周边有新城国际公寓、世贸国际公寓、温莎大道等住宅小区，居住社区成熟度好。</v>
      </c>
      <c r="J15" s="379">
        <f>SUMIF(76:76,I16,77:77)-SUMIF(76:76,C16,77:77)+100</f>
        <v>100</v>
      </c>
      <c r="K15" s="383"/>
      <c r="L15" s="2487"/>
      <c r="M15" s="2482"/>
      <c r="N15" s="2482"/>
      <c r="O15" s="2482"/>
      <c r="P15" s="3414" t="s">
        <v>1691</v>
      </c>
      <c r="Q15" s="1261" t="str">
        <f t="shared" si="6"/>
        <v>居住社区成熟度</v>
      </c>
      <c r="R15" s="666" t="s">
        <v>18</v>
      </c>
      <c r="S15" s="667">
        <f t="shared" si="0"/>
        <v>100</v>
      </c>
      <c r="T15" s="666" t="s">
        <v>18</v>
      </c>
      <c r="U15" s="667">
        <f t="shared" si="1"/>
        <v>100</v>
      </c>
      <c r="V15" s="666" t="s">
        <v>18</v>
      </c>
      <c r="W15" s="667">
        <f t="shared" si="2"/>
        <v>100</v>
      </c>
      <c r="X15" s="1263"/>
      <c r="Y15" s="3407" t="s">
        <v>1691</v>
      </c>
      <c r="Z15" s="1262" t="str">
        <f t="shared" si="7"/>
        <v>居住社区成熟度</v>
      </c>
      <c r="AA15" s="1262">
        <f t="shared" si="3"/>
        <v>1</v>
      </c>
      <c r="AB15" s="1262">
        <f t="shared" si="4"/>
        <v>1</v>
      </c>
      <c r="AC15" s="1262">
        <f t="shared" si="5"/>
        <v>1</v>
      </c>
    </row>
    <row r="16" spans="1:29" ht="15">
      <c r="A16" s="366"/>
      <c r="B16" s="384"/>
      <c r="C16" s="385" t="s">
        <v>3408</v>
      </c>
      <c r="D16" s="386"/>
      <c r="E16" s="385" t="s">
        <v>3408</v>
      </c>
      <c r="F16" s="386"/>
      <c r="G16" s="385" t="s">
        <v>3408</v>
      </c>
      <c r="H16" s="388"/>
      <c r="I16" s="385" t="s">
        <v>3408</v>
      </c>
      <c r="J16" s="386"/>
      <c r="K16" s="1750"/>
      <c r="L16" s="2487"/>
      <c r="M16" s="2482"/>
      <c r="N16" s="2482"/>
      <c r="O16" s="2482"/>
      <c r="P16" s="3415"/>
      <c r="Q16" s="1261"/>
      <c r="R16" s="666"/>
      <c r="S16" s="667"/>
      <c r="T16" s="666"/>
      <c r="U16" s="667"/>
      <c r="V16" s="666"/>
      <c r="W16" s="667"/>
      <c r="X16" s="1263"/>
      <c r="Y16" s="3408"/>
      <c r="Z16" s="1262"/>
      <c r="AA16" s="1262">
        <v>1</v>
      </c>
      <c r="AB16" s="1262">
        <v>1</v>
      </c>
      <c r="AC16" s="1262">
        <v>1</v>
      </c>
    </row>
    <row r="17" spans="1:29" ht="34.5" customHeight="1">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169" t="str">
        <f>C17</f>
        <v>周边有9路、98路、113路、140路、368路等多条公交线路，地铁1号线与10号线换乘站国贸站，地铁6号线与10号线换乘站呼家楼站，综合评价交通便捷度好</v>
      </c>
      <c r="F17" s="388">
        <f>SUMIF(78:78,E18,79:79)-SUMIF(78:78,C18,79:79)+100</f>
        <v>100</v>
      </c>
      <c r="G17" s="3169" t="str">
        <f>E17</f>
        <v>周边有9路、98路、113路、140路、368路等多条公交线路，地铁1号线与10号线换乘站国贸站，地铁6号线与10号线换乘站呼家楼站，综合评价交通便捷度好</v>
      </c>
      <c r="H17" s="393">
        <f>SUMIF(78:78,G18,79:79)-SUMIF(78:78,C18,79:79)+100</f>
        <v>100</v>
      </c>
      <c r="I17" s="3170" t="str">
        <f>E17</f>
        <v>周边有9路、98路、113路、140路、368路等多条公交线路，地铁1号线与10号线换乘站国贸站，地铁6号线与10号线换乘站呼家楼站，综合评价交通便捷度好</v>
      </c>
      <c r="J17" s="393">
        <f>SUMIF(78:78,I18,79:79)-SUMIF(78:78,C18,79:79)+100</f>
        <v>100</v>
      </c>
      <c r="K17" s="383"/>
      <c r="L17" s="2487"/>
      <c r="M17" s="2482"/>
      <c r="N17" s="2482"/>
      <c r="O17" s="2482"/>
      <c r="P17" s="3415"/>
      <c r="Q17" s="1261" t="str">
        <f>B17</f>
        <v>交通便捷度</v>
      </c>
      <c r="R17" s="666" t="s">
        <v>18</v>
      </c>
      <c r="S17" s="667">
        <f>F17</f>
        <v>100</v>
      </c>
      <c r="T17" s="666" t="s">
        <v>18</v>
      </c>
      <c r="U17" s="667">
        <f>H17</f>
        <v>100</v>
      </c>
      <c r="V17" s="666" t="s">
        <v>18</v>
      </c>
      <c r="W17" s="667">
        <f>J17</f>
        <v>100</v>
      </c>
      <c r="X17" s="1263"/>
      <c r="Y17" s="3408"/>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15"/>
      <c r="Q18" s="1261"/>
      <c r="R18" s="666"/>
      <c r="S18" s="667"/>
      <c r="T18" s="666"/>
      <c r="U18" s="667"/>
      <c r="V18" s="666"/>
      <c r="W18" s="667"/>
      <c r="X18" s="1263"/>
      <c r="Y18" s="3408"/>
      <c r="Z18" s="1262"/>
      <c r="AA18" s="1262">
        <v>1</v>
      </c>
      <c r="AB18" s="1262">
        <v>1</v>
      </c>
      <c r="AC18" s="1262">
        <v>1</v>
      </c>
    </row>
    <row r="19" spans="1:29" ht="299.25" customHeight="1">
      <c r="A19" s="366"/>
      <c r="B19" s="389" t="s">
        <v>1258</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172" t="s">
        <v>3473</v>
      </c>
      <c r="F19" s="393">
        <f>SUMIF(80:80,E20,81:81)-SUMIF(80:80,C20,81:81)+100</f>
        <v>100</v>
      </c>
      <c r="G19" s="3171" t="str">
        <f>C19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H19" s="388">
        <f>SUMIF(80:80,G20,81:81)-SUMIF(80:80,C20,81:81)+100</f>
        <v>100</v>
      </c>
      <c r="I19" s="3171" t="str">
        <f>G19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J19" s="388">
        <f>SUMIF(80:80,I20,81:81)-SUMIF(80:80,C20,81:81)+100</f>
        <v>100</v>
      </c>
      <c r="K19" s="383"/>
      <c r="L19" s="2487"/>
      <c r="M19" s="2482"/>
      <c r="N19" s="2482"/>
      <c r="O19" s="2482"/>
      <c r="P19" s="3415"/>
      <c r="Q19" s="1261" t="str">
        <f>B19</f>
        <v>公共配套设施</v>
      </c>
      <c r="R19" s="666" t="s">
        <v>18</v>
      </c>
      <c r="S19" s="667">
        <f>F19</f>
        <v>100</v>
      </c>
      <c r="T19" s="666" t="s">
        <v>18</v>
      </c>
      <c r="U19" s="667">
        <f>H19</f>
        <v>100</v>
      </c>
      <c r="V19" s="666" t="s">
        <v>18</v>
      </c>
      <c r="W19" s="667">
        <f>J19</f>
        <v>100</v>
      </c>
      <c r="X19" s="1263"/>
      <c r="Y19" s="3408"/>
      <c r="Z19" s="1262" t="str">
        <f>Q19</f>
        <v>公共配套设施</v>
      </c>
      <c r="AA19" s="1262">
        <f t="shared" si="3"/>
        <v>1</v>
      </c>
      <c r="AB19" s="1262">
        <f t="shared" si="4"/>
        <v>1</v>
      </c>
      <c r="AC19" s="1262">
        <f t="shared" si="5"/>
        <v>1</v>
      </c>
    </row>
    <row r="20" spans="1:29" ht="15">
      <c r="A20" s="366"/>
      <c r="B20" s="394"/>
      <c r="C20" s="385" t="s">
        <v>3408</v>
      </c>
      <c r="D20" s="386"/>
      <c r="E20" s="385" t="s">
        <v>3408</v>
      </c>
      <c r="F20" s="386"/>
      <c r="G20" s="385" t="s">
        <v>3408</v>
      </c>
      <c r="H20" s="386"/>
      <c r="I20" s="385" t="s">
        <v>3408</v>
      </c>
      <c r="J20" s="386"/>
      <c r="K20" s="1750"/>
      <c r="L20" s="2487"/>
      <c r="M20" s="2482"/>
      <c r="N20" s="2482"/>
      <c r="O20" s="2482"/>
      <c r="P20" s="3415"/>
      <c r="Q20" s="1261"/>
      <c r="R20" s="666"/>
      <c r="S20" s="667"/>
      <c r="T20" s="666"/>
      <c r="U20" s="667"/>
      <c r="V20" s="666"/>
      <c r="W20" s="667"/>
      <c r="X20" s="1263"/>
      <c r="Y20" s="3408"/>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15"/>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15"/>
      <c r="Q22" s="1261"/>
      <c r="R22" s="666"/>
      <c r="S22" s="667"/>
      <c r="T22" s="666"/>
      <c r="U22" s="667"/>
      <c r="V22" s="666"/>
      <c r="W22" s="667"/>
      <c r="X22" s="1263"/>
      <c r="Y22" s="3408"/>
      <c r="Z22" s="1262"/>
      <c r="AA22" s="1262">
        <v>1</v>
      </c>
      <c r="AB22" s="1262">
        <v>1</v>
      </c>
      <c r="AC22" s="1262">
        <v>1</v>
      </c>
    </row>
    <row r="23" spans="1:29" ht="85.5">
      <c r="A23" s="366"/>
      <c r="B23" s="389" t="s">
        <v>1261</v>
      </c>
      <c r="C23" s="1751" t="str">
        <f>估价对象房地状况!C9</f>
        <v>自然环境：团结湖公园等自然景观；
人文环境：当代美术馆等人文场所；
综合评价环境状况较好。</v>
      </c>
      <c r="D23" s="388">
        <v>100</v>
      </c>
      <c r="E23" s="3169" t="s">
        <v>3472</v>
      </c>
      <c r="F23" s="388">
        <f>SUMIF(84:84,E24,85:85)-SUMIF(84:84,C24,85:85)+100</f>
        <v>100</v>
      </c>
      <c r="G23" s="3170" t="str">
        <f>C23</f>
        <v>自然环境：团结湖公园等自然景观；
人文环境：当代美术馆等人文场所；
综合评价环境状况较好。</v>
      </c>
      <c r="H23" s="388">
        <f>SUMIF(84:84,G24,85:85)-SUMIF(84:84,C24,85:85)+100</f>
        <v>100</v>
      </c>
      <c r="I23" s="3170" t="str">
        <f>C23</f>
        <v>自然环境：团结湖公园等自然景观；
人文环境：当代美术馆等人文场所；
综合评价环境状况较好。</v>
      </c>
      <c r="J23" s="388">
        <f>SUMIF(84:84,I24,85:85)-SUMIF(84:84,C24,85:85)+100</f>
        <v>100</v>
      </c>
      <c r="K23" s="383"/>
      <c r="L23" s="2487"/>
      <c r="M23" s="2482"/>
      <c r="N23" s="2482"/>
      <c r="O23" s="2482"/>
      <c r="P23" s="3415"/>
      <c r="Q23" s="1261" t="str">
        <f>B23</f>
        <v>自然及人文环境</v>
      </c>
      <c r="R23" s="666" t="s">
        <v>18</v>
      </c>
      <c r="S23" s="667">
        <f>F23</f>
        <v>100</v>
      </c>
      <c r="T23" s="666" t="s">
        <v>18</v>
      </c>
      <c r="U23" s="667">
        <f>H23</f>
        <v>100</v>
      </c>
      <c r="V23" s="666" t="s">
        <v>18</v>
      </c>
      <c r="W23" s="667">
        <f>J23</f>
        <v>100</v>
      </c>
      <c r="X23" s="1263"/>
      <c r="Y23" s="3408"/>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5"/>
      <c r="Q24" s="1261"/>
      <c r="R24" s="666"/>
      <c r="S24" s="667"/>
      <c r="T24" s="666"/>
      <c r="U24" s="667"/>
      <c r="V24" s="666"/>
      <c r="W24" s="667"/>
      <c r="X24" s="1263"/>
      <c r="Y24" s="3408"/>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5"/>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8"/>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3475</v>
      </c>
      <c r="D26" s="373">
        <v>100</v>
      </c>
      <c r="E26" s="1757" t="s">
        <v>3476</v>
      </c>
      <c r="F26" s="373">
        <f>SUMIF(88:88,E26,89:89)-SUMIF(88:88,C26,89:89)+100</f>
        <v>96</v>
      </c>
      <c r="G26" s="1757" t="s">
        <v>3476</v>
      </c>
      <c r="H26" s="373">
        <f>SUMIF(88:88,G26,89:89)-SUMIF(88:88,C26,89:89)+100</f>
        <v>96</v>
      </c>
      <c r="I26" s="1758" t="s">
        <v>3477</v>
      </c>
      <c r="J26" s="373">
        <f>SUMIF(88:88,I26,89:89)-SUMIF(88:88,C26,89:89)+100</f>
        <v>96.5</v>
      </c>
      <c r="K26" s="364">
        <v>0.5</v>
      </c>
      <c r="L26" s="2487"/>
      <c r="M26" s="2482"/>
      <c r="N26" s="2482"/>
      <c r="O26" s="2482"/>
      <c r="P26" s="3415"/>
      <c r="Q26" s="1261" t="str">
        <f t="shared" si="8"/>
        <v>朝向</v>
      </c>
      <c r="R26" s="666" t="s">
        <v>18</v>
      </c>
      <c r="S26" s="667">
        <f t="shared" si="9"/>
        <v>96</v>
      </c>
      <c r="T26" s="666" t="s">
        <v>18</v>
      </c>
      <c r="U26" s="667">
        <f t="shared" si="10"/>
        <v>96</v>
      </c>
      <c r="V26" s="666" t="s">
        <v>18</v>
      </c>
      <c r="W26" s="667">
        <f t="shared" si="11"/>
        <v>96.5</v>
      </c>
      <c r="X26" s="1263"/>
      <c r="Y26" s="3408"/>
      <c r="Z26" s="1262" t="str">
        <f>Q26</f>
        <v>朝向</v>
      </c>
      <c r="AA26" s="1262">
        <f t="shared" si="12"/>
        <v>1.0416666666666667</v>
      </c>
      <c r="AB26" s="1262">
        <f t="shared" si="13"/>
        <v>1.0416666666666667</v>
      </c>
      <c r="AC26" s="1262">
        <f t="shared" si="14"/>
        <v>1.0362694300518134</v>
      </c>
    </row>
    <row r="27" spans="1:29" s="101" customFormat="1" ht="15">
      <c r="A27" s="369"/>
      <c r="B27" s="3141" t="s">
        <v>3392</v>
      </c>
      <c r="C27" s="3173" t="s">
        <v>3478</v>
      </c>
      <c r="D27" s="400">
        <v>100</v>
      </c>
      <c r="E27" s="3173" t="s">
        <v>3481</v>
      </c>
      <c r="F27" s="400">
        <f>D91</f>
        <v>98</v>
      </c>
      <c r="G27" s="3173" t="s">
        <v>3478</v>
      </c>
      <c r="H27" s="400">
        <f>SUMIF(90:90,G27,91:91)-SUMIF(90:90,A27,91:91)</f>
        <v>100</v>
      </c>
      <c r="I27" s="3173" t="s">
        <v>3481</v>
      </c>
      <c r="J27" s="400">
        <f>SUMIF(90:90,I27,91:91)-SUMIF(90:90,C27,91:91)+100</f>
        <v>98</v>
      </c>
      <c r="K27" s="1745"/>
      <c r="L27" s="2483"/>
      <c r="M27" s="2434"/>
      <c r="N27" s="2434"/>
      <c r="O27" s="2434"/>
      <c r="P27" s="3415"/>
      <c r="Q27" s="529" t="str">
        <f t="shared" si="8"/>
        <v>楼层</v>
      </c>
      <c r="R27" s="663" t="s">
        <v>18</v>
      </c>
      <c r="S27" s="664">
        <f t="shared" si="9"/>
        <v>98</v>
      </c>
      <c r="T27" s="663" t="s">
        <v>18</v>
      </c>
      <c r="U27" s="664">
        <f t="shared" si="10"/>
        <v>100</v>
      </c>
      <c r="V27" s="663" t="s">
        <v>18</v>
      </c>
      <c r="W27" s="664">
        <f t="shared" si="11"/>
        <v>98</v>
      </c>
      <c r="X27" s="665"/>
      <c r="Y27" s="3408"/>
      <c r="Z27" s="50" t="str">
        <f>Q27</f>
        <v>楼层</v>
      </c>
      <c r="AA27" s="1262">
        <f t="shared" si="12"/>
        <v>1.0204081632653061</v>
      </c>
      <c r="AB27" s="1262">
        <f t="shared" si="13"/>
        <v>1</v>
      </c>
      <c r="AC27" s="1262">
        <f t="shared" si="14"/>
        <v>1.0204081632653061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15"/>
      <c r="Q28" s="1261" t="str">
        <f t="shared" si="8"/>
        <v>道路级别</v>
      </c>
      <c r="R28" s="666" t="s">
        <v>18</v>
      </c>
      <c r="S28" s="667">
        <f t="shared" si="9"/>
        <v>100</v>
      </c>
      <c r="T28" s="666" t="s">
        <v>18</v>
      </c>
      <c r="U28" s="667">
        <f t="shared" si="10"/>
        <v>100</v>
      </c>
      <c r="V28" s="666" t="s">
        <v>18</v>
      </c>
      <c r="W28" s="667">
        <f t="shared" si="11"/>
        <v>100</v>
      </c>
      <c r="X28" s="1263"/>
      <c r="Y28" s="3408"/>
      <c r="Z28" s="1262" t="str">
        <f t="shared" ref="Z28:Z46" si="15">Q28</f>
        <v>道路级别</v>
      </c>
      <c r="AA28" s="1262">
        <f t="shared" si="12"/>
        <v>1</v>
      </c>
      <c r="AB28" s="1262">
        <f t="shared" si="13"/>
        <v>1</v>
      </c>
      <c r="AC28" s="1262">
        <f t="shared" si="14"/>
        <v>1</v>
      </c>
    </row>
    <row r="29" spans="1:29" ht="15">
      <c r="A29" s="366"/>
      <c r="B29" s="1065">
        <v>111</v>
      </c>
      <c r="C29" s="3528" t="s">
        <v>3479</v>
      </c>
      <c r="D29" s="373">
        <v>100</v>
      </c>
      <c r="E29" s="3173" t="s">
        <v>3480</v>
      </c>
      <c r="F29" s="373">
        <f>SUMIF(94:94,E29,95:95)-SUMIF(94:94,C29,95:95)+100</f>
        <v>100</v>
      </c>
      <c r="G29" s="3529" t="s">
        <v>3482</v>
      </c>
      <c r="H29" s="373">
        <f>SUMIF(94:94,G29,95:95)-SUMIF(94:94,C29,95:95)+100</f>
        <v>100</v>
      </c>
      <c r="I29" s="3173" t="s">
        <v>3483</v>
      </c>
      <c r="J29" s="373">
        <f>SUMIF(94:94,I29,95:95)-SUMIF(94:94,C29,95:95)+100</f>
        <v>100</v>
      </c>
      <c r="K29" s="1745"/>
      <c r="L29" s="2487"/>
      <c r="M29" s="2482"/>
      <c r="N29" s="2482"/>
      <c r="O29" s="2482"/>
      <c r="P29" s="3415"/>
      <c r="Q29" s="1261">
        <f t="shared" si="8"/>
        <v>111</v>
      </c>
      <c r="R29" s="666" t="s">
        <v>18</v>
      </c>
      <c r="S29" s="667">
        <f t="shared" si="9"/>
        <v>100</v>
      </c>
      <c r="T29" s="666" t="s">
        <v>18</v>
      </c>
      <c r="U29" s="667">
        <f t="shared" si="10"/>
        <v>100</v>
      </c>
      <c r="V29" s="666" t="s">
        <v>18</v>
      </c>
      <c r="W29" s="667">
        <f t="shared" si="11"/>
        <v>100</v>
      </c>
      <c r="X29" s="1263"/>
      <c r="Y29" s="3408"/>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5"/>
      <c r="Q30" s="1261">
        <f t="shared" si="8"/>
        <v>111</v>
      </c>
      <c r="R30" s="666" t="s">
        <v>18</v>
      </c>
      <c r="S30" s="667">
        <f t="shared" si="9"/>
        <v>100</v>
      </c>
      <c r="T30" s="666" t="s">
        <v>18</v>
      </c>
      <c r="U30" s="667">
        <f t="shared" si="10"/>
        <v>100</v>
      </c>
      <c r="V30" s="666" t="s">
        <v>18</v>
      </c>
      <c r="W30" s="667">
        <f t="shared" si="11"/>
        <v>100</v>
      </c>
      <c r="X30" s="1263"/>
      <c r="Y30" s="3408"/>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5"/>
      <c r="Q31" s="1261">
        <f t="shared" si="8"/>
        <v>111</v>
      </c>
      <c r="R31" s="666" t="s">
        <v>18</v>
      </c>
      <c r="S31" s="667">
        <f t="shared" si="9"/>
        <v>100</v>
      </c>
      <c r="T31" s="666" t="s">
        <v>18</v>
      </c>
      <c r="U31" s="667">
        <f t="shared" si="10"/>
        <v>100</v>
      </c>
      <c r="V31" s="666" t="s">
        <v>18</v>
      </c>
      <c r="W31" s="667">
        <f t="shared" si="11"/>
        <v>100</v>
      </c>
      <c r="X31" s="1263"/>
      <c r="Y31" s="3408"/>
      <c r="Z31" s="1262">
        <f t="shared" si="15"/>
        <v>111</v>
      </c>
      <c r="AA31" s="1262">
        <f t="shared" si="12"/>
        <v>1</v>
      </c>
      <c r="AB31" s="1262">
        <f t="shared" si="13"/>
        <v>1</v>
      </c>
      <c r="AC31" s="1262">
        <f t="shared" si="14"/>
        <v>1</v>
      </c>
    </row>
    <row r="32" spans="1:29" ht="15.75" thickBot="1">
      <c r="A32" s="378" t="s">
        <v>1694</v>
      </c>
      <c r="B32" s="363" t="s">
        <v>1695</v>
      </c>
      <c r="C32" s="3168" t="s">
        <v>3487</v>
      </c>
      <c r="D32" s="404">
        <v>100</v>
      </c>
      <c r="E32" s="3168" t="s">
        <v>3487</v>
      </c>
      <c r="F32" s="399">
        <f>SUMIF(100:100,E32,101:101)-SUMIF(100:100,C32,101:101)+100</f>
        <v>100</v>
      </c>
      <c r="G32" s="3168" t="s">
        <v>3487</v>
      </c>
      <c r="H32" s="404">
        <f>SUMIF(100:100,G32,101:101)-SUMIF(100:100,C32,101:101)+100</f>
        <v>100</v>
      </c>
      <c r="I32" s="1761" t="s">
        <v>3487</v>
      </c>
      <c r="J32" s="373">
        <f>SUMIF(100:100,I32,101:101)-SUMIF(100:100,C32,101:101)+100</f>
        <v>100</v>
      </c>
      <c r="K32" s="364">
        <v>3</v>
      </c>
      <c r="L32" s="2487"/>
      <c r="M32" s="2482"/>
      <c r="N32" s="2482"/>
      <c r="O32" s="2482"/>
      <c r="P32" s="3409" t="s">
        <v>1696</v>
      </c>
      <c r="Q32" s="1261" t="str">
        <f t="shared" si="8"/>
        <v>建筑类型</v>
      </c>
      <c r="R32" s="666" t="s">
        <v>18</v>
      </c>
      <c r="S32" s="667">
        <f t="shared" si="9"/>
        <v>100</v>
      </c>
      <c r="T32" s="666" t="s">
        <v>18</v>
      </c>
      <c r="U32" s="667">
        <f t="shared" si="10"/>
        <v>100</v>
      </c>
      <c r="V32" s="666" t="s">
        <v>18</v>
      </c>
      <c r="W32" s="667">
        <f t="shared" si="11"/>
        <v>100</v>
      </c>
      <c r="X32" s="1263"/>
      <c r="Y32" s="3412"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81.66</v>
      </c>
      <c r="D33" s="118">
        <v>100</v>
      </c>
      <c r="E33" s="3168">
        <f>案例!$E$2</f>
        <v>74.930000000000007</v>
      </c>
      <c r="F33" s="399">
        <f>G104</f>
        <v>103</v>
      </c>
      <c r="G33" s="3168">
        <f>案例!$E$3</f>
        <v>87.47</v>
      </c>
      <c r="H33" s="404">
        <f>H104</f>
        <v>100</v>
      </c>
      <c r="I33" s="1761">
        <f>案例!$E$4</f>
        <v>89.12</v>
      </c>
      <c r="J33" s="3166">
        <f>H33</f>
        <v>100</v>
      </c>
      <c r="K33" s="1745"/>
      <c r="L33" s="2486"/>
      <c r="M33" s="2488"/>
      <c r="N33" s="2488"/>
      <c r="O33" s="2488"/>
      <c r="P33" s="3410"/>
      <c r="Q33" s="530" t="str">
        <f t="shared" si="8"/>
        <v>项目建筑规模</v>
      </c>
      <c r="R33" s="668" t="s">
        <v>18</v>
      </c>
      <c r="S33" s="669">
        <f t="shared" si="9"/>
        <v>103</v>
      </c>
      <c r="T33" s="668" t="s">
        <v>18</v>
      </c>
      <c r="U33" s="669">
        <f t="shared" si="10"/>
        <v>100</v>
      </c>
      <c r="V33" s="668" t="s">
        <v>18</v>
      </c>
      <c r="W33" s="669">
        <f t="shared" si="11"/>
        <v>100</v>
      </c>
      <c r="X33" s="670"/>
      <c r="Y33" s="3412"/>
      <c r="Z33" s="671" t="str">
        <f t="shared" si="15"/>
        <v>项目建筑规模</v>
      </c>
      <c r="AA33" s="1262">
        <f t="shared" si="12"/>
        <v>0.970873786407767</v>
      </c>
      <c r="AB33" s="1262">
        <f t="shared" si="13"/>
        <v>1</v>
      </c>
      <c r="AC33" s="1262">
        <f t="shared" si="14"/>
        <v>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10"/>
      <c r="Q34" s="1261" t="str">
        <f t="shared" si="8"/>
        <v>建筑结构</v>
      </c>
      <c r="R34" s="666" t="s">
        <v>18</v>
      </c>
      <c r="S34" s="667">
        <f t="shared" si="9"/>
        <v>100</v>
      </c>
      <c r="T34" s="666" t="s">
        <v>18</v>
      </c>
      <c r="U34" s="667">
        <f t="shared" si="10"/>
        <v>100</v>
      </c>
      <c r="V34" s="666" t="s">
        <v>18</v>
      </c>
      <c r="W34" s="667">
        <f t="shared" si="11"/>
        <v>100</v>
      </c>
      <c r="X34" s="1263"/>
      <c r="Y34" s="3412"/>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10"/>
      <c r="Q35" s="1261" t="str">
        <f t="shared" si="8"/>
        <v>噪音污染</v>
      </c>
      <c r="R35" s="666" t="s">
        <v>18</v>
      </c>
      <c r="S35" s="667">
        <f t="shared" si="9"/>
        <v>100</v>
      </c>
      <c r="T35" s="666" t="s">
        <v>18</v>
      </c>
      <c r="U35" s="667">
        <f t="shared" si="10"/>
        <v>100</v>
      </c>
      <c r="V35" s="666" t="s">
        <v>18</v>
      </c>
      <c r="W35" s="667">
        <f t="shared" si="11"/>
        <v>100</v>
      </c>
      <c r="X35" s="1263"/>
      <c r="Y35" s="3412"/>
      <c r="Z35" s="1262" t="str">
        <f t="shared" si="15"/>
        <v>噪音污染</v>
      </c>
      <c r="AA35" s="1262">
        <f t="shared" si="12"/>
        <v>1</v>
      </c>
      <c r="AB35" s="1262">
        <f t="shared" si="13"/>
        <v>1</v>
      </c>
      <c r="AC35" s="1262">
        <f t="shared" si="14"/>
        <v>1</v>
      </c>
    </row>
    <row r="36" spans="1:29" ht="15">
      <c r="A36" s="408"/>
      <c r="B36" s="363" t="s">
        <v>1699</v>
      </c>
      <c r="C36" s="3188" t="s">
        <v>3490</v>
      </c>
      <c r="D36" s="373">
        <v>100</v>
      </c>
      <c r="E36" s="3188" t="s">
        <v>3490</v>
      </c>
      <c r="F36" s="399">
        <f>SUMIF(109:109,E36,110:110)-SUMIF(109:109,C36,110:110)+100</f>
        <v>100</v>
      </c>
      <c r="G36" s="3188" t="s">
        <v>3490</v>
      </c>
      <c r="H36" s="373">
        <f>SUMIF(109:109,G36,110:110)-SUMIF(109:109,C36,110:110)+100</f>
        <v>100</v>
      </c>
      <c r="I36" s="3188" t="s">
        <v>3490</v>
      </c>
      <c r="J36" s="373">
        <f>SUMIF(109:109,I36,110:110)-SUMIF(109:109,C36,110:110)+100</f>
        <v>100</v>
      </c>
      <c r="K36" s="364"/>
      <c r="L36" s="2487"/>
      <c r="M36" s="2482"/>
      <c r="N36" s="2482"/>
      <c r="O36" s="2482"/>
      <c r="P36" s="3410"/>
      <c r="Q36" s="1261" t="str">
        <f t="shared" si="8"/>
        <v>公共部分装修</v>
      </c>
      <c r="R36" s="666" t="s">
        <v>18</v>
      </c>
      <c r="S36" s="667">
        <f t="shared" si="9"/>
        <v>100</v>
      </c>
      <c r="T36" s="666" t="s">
        <v>18</v>
      </c>
      <c r="U36" s="667">
        <f t="shared" si="10"/>
        <v>100</v>
      </c>
      <c r="V36" s="666" t="s">
        <v>18</v>
      </c>
      <c r="W36" s="667">
        <f t="shared" si="11"/>
        <v>100</v>
      </c>
      <c r="X36" s="1263"/>
      <c r="Y36" s="3412"/>
      <c r="Z36" s="1262" t="str">
        <f t="shared" si="15"/>
        <v>公共部分装修</v>
      </c>
      <c r="AA36" s="1262">
        <f t="shared" si="12"/>
        <v>1</v>
      </c>
      <c r="AB36" s="1262">
        <f t="shared" si="13"/>
        <v>1</v>
      </c>
      <c r="AC36" s="1262">
        <f t="shared" si="14"/>
        <v>1</v>
      </c>
    </row>
    <row r="37" spans="1:29" s="101" customFormat="1" ht="15">
      <c r="A37" s="409"/>
      <c r="B37" s="3174" t="s">
        <v>3451</v>
      </c>
      <c r="C37" s="3175">
        <v>2005</v>
      </c>
      <c r="D37" s="118">
        <v>100</v>
      </c>
      <c r="E37" s="3175">
        <f>案例!I2</f>
        <v>2001</v>
      </c>
      <c r="F37" s="363">
        <f>G129</f>
        <v>98</v>
      </c>
      <c r="G37" s="3175">
        <f>案例!I3</f>
        <v>2005</v>
      </c>
      <c r="H37" s="118">
        <f>LOOKUP(G37,112:112,113:113)-LOOKUP(C37,112:112,113:113)+100</f>
        <v>100</v>
      </c>
      <c r="I37" s="3175">
        <f>案例!I4</f>
        <v>2003</v>
      </c>
      <c r="J37" s="118">
        <f>E129</f>
        <v>99</v>
      </c>
      <c r="K37" s="364">
        <v>0.5</v>
      </c>
      <c r="L37" s="2483"/>
      <c r="M37" s="2434"/>
      <c r="N37" s="2434"/>
      <c r="O37" s="2434"/>
      <c r="P37" s="3410"/>
      <c r="Q37" s="529" t="str">
        <f t="shared" si="8"/>
        <v>建成年代</v>
      </c>
      <c r="R37" s="663" t="s">
        <v>18</v>
      </c>
      <c r="S37" s="664">
        <f t="shared" si="9"/>
        <v>98</v>
      </c>
      <c r="T37" s="663" t="s">
        <v>18</v>
      </c>
      <c r="U37" s="664">
        <f t="shared" si="10"/>
        <v>100</v>
      </c>
      <c r="V37" s="663" t="s">
        <v>18</v>
      </c>
      <c r="W37" s="664">
        <f t="shared" si="11"/>
        <v>99</v>
      </c>
      <c r="X37" s="665"/>
      <c r="Y37" s="3412"/>
      <c r="Z37" s="50" t="str">
        <f t="shared" si="15"/>
        <v>建成年代</v>
      </c>
      <c r="AA37" s="50">
        <f t="shared" si="12"/>
        <v>1.0204081632653061</v>
      </c>
      <c r="AB37" s="50">
        <f t="shared" si="13"/>
        <v>1</v>
      </c>
      <c r="AC37" s="50">
        <f t="shared" si="14"/>
        <v>1.0101010101010102</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10" t="s">
        <v>1696</v>
      </c>
      <c r="Q38" s="1261" t="str">
        <f t="shared" si="8"/>
        <v>物业管理</v>
      </c>
      <c r="R38" s="666" t="s">
        <v>18</v>
      </c>
      <c r="S38" s="667">
        <f t="shared" si="9"/>
        <v>100</v>
      </c>
      <c r="T38" s="666" t="s">
        <v>18</v>
      </c>
      <c r="U38" s="667">
        <f t="shared" si="10"/>
        <v>100</v>
      </c>
      <c r="V38" s="666" t="s">
        <v>18</v>
      </c>
      <c r="W38" s="667">
        <f t="shared" si="11"/>
        <v>100</v>
      </c>
      <c r="X38" s="1263"/>
      <c r="Y38" s="3412"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10"/>
      <c r="Q39" s="1261" t="str">
        <f t="shared" si="8"/>
        <v>市政基础设施</v>
      </c>
      <c r="R39" s="666" t="s">
        <v>18</v>
      </c>
      <c r="S39" s="667">
        <f t="shared" si="9"/>
        <v>100</v>
      </c>
      <c r="T39" s="666" t="s">
        <v>18</v>
      </c>
      <c r="U39" s="667">
        <f t="shared" si="10"/>
        <v>100</v>
      </c>
      <c r="V39" s="666" t="s">
        <v>18</v>
      </c>
      <c r="W39" s="667">
        <f t="shared" si="11"/>
        <v>100</v>
      </c>
      <c r="X39" s="1263"/>
      <c r="Y39" s="3412"/>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10"/>
      <c r="Q40" s="1261" t="str">
        <f t="shared" si="8"/>
        <v>房型</v>
      </c>
      <c r="R40" s="666" t="s">
        <v>18</v>
      </c>
      <c r="S40" s="667">
        <f t="shared" si="9"/>
        <v>100</v>
      </c>
      <c r="T40" s="666" t="s">
        <v>18</v>
      </c>
      <c r="U40" s="667">
        <f t="shared" si="10"/>
        <v>100</v>
      </c>
      <c r="V40" s="666" t="s">
        <v>18</v>
      </c>
      <c r="W40" s="667">
        <f t="shared" si="11"/>
        <v>100</v>
      </c>
      <c r="X40" s="1263"/>
      <c r="Y40" s="3412"/>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10"/>
      <c r="Q41" s="530" t="str">
        <f t="shared" si="8"/>
        <v>单套/主力户型建筑面积</v>
      </c>
      <c r="R41" s="668" t="s">
        <v>18</v>
      </c>
      <c r="S41" s="669">
        <f t="shared" si="9"/>
        <v>100</v>
      </c>
      <c r="T41" s="668" t="s">
        <v>18</v>
      </c>
      <c r="U41" s="669">
        <f t="shared" si="10"/>
        <v>100</v>
      </c>
      <c r="V41" s="668" t="s">
        <v>18</v>
      </c>
      <c r="W41" s="669">
        <f t="shared" si="11"/>
        <v>100</v>
      </c>
      <c r="X41" s="670"/>
      <c r="Y41" s="3412"/>
      <c r="Z41" s="671" t="str">
        <f t="shared" si="15"/>
        <v>单套/主力户型建筑面积</v>
      </c>
      <c r="AA41" s="1262">
        <f t="shared" si="12"/>
        <v>1</v>
      </c>
      <c r="AB41" s="1262">
        <f t="shared" si="13"/>
        <v>1</v>
      </c>
      <c r="AC41" s="1262">
        <f t="shared" si="14"/>
        <v>1</v>
      </c>
    </row>
    <row r="42" spans="1:29" ht="15">
      <c r="A42" s="408"/>
      <c r="B42" s="363" t="s">
        <v>1704</v>
      </c>
      <c r="C42" s="1757" t="s">
        <v>3488</v>
      </c>
      <c r="D42" s="373">
        <v>100</v>
      </c>
      <c r="E42" s="3188" t="s">
        <v>3490</v>
      </c>
      <c r="F42" s="399">
        <f>SUMIF(122:122,E42,123:123)-SUMIF(122:122,C42,123:123)+100</f>
        <v>102</v>
      </c>
      <c r="G42" s="3188" t="s">
        <v>3490</v>
      </c>
      <c r="H42" s="373">
        <f>SUMIF(122:122,G42,123:123)-SUMIF(122:122,C42,123:123)+100</f>
        <v>102</v>
      </c>
      <c r="I42" s="3188" t="s">
        <v>3490</v>
      </c>
      <c r="J42" s="373">
        <f>SUMIF(122:122,I42,123:123)-SUMIF(122:122,C42,123:123)+100</f>
        <v>102</v>
      </c>
      <c r="K42" s="364">
        <v>2</v>
      </c>
      <c r="L42" s="2487"/>
      <c r="M42" s="2482"/>
      <c r="N42" s="2482"/>
      <c r="O42" s="2482"/>
      <c r="P42" s="3410"/>
      <c r="Q42" s="1261" t="str">
        <f t="shared" si="8"/>
        <v>内部装修</v>
      </c>
      <c r="R42" s="666" t="s">
        <v>18</v>
      </c>
      <c r="S42" s="667">
        <f t="shared" si="9"/>
        <v>102</v>
      </c>
      <c r="T42" s="666" t="s">
        <v>18</v>
      </c>
      <c r="U42" s="667">
        <f t="shared" si="10"/>
        <v>102</v>
      </c>
      <c r="V42" s="666" t="s">
        <v>18</v>
      </c>
      <c r="W42" s="667">
        <f t="shared" si="11"/>
        <v>102</v>
      </c>
      <c r="X42" s="1263"/>
      <c r="Y42" s="3412"/>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10"/>
      <c r="Q43" s="1261" t="str">
        <f t="shared" si="8"/>
        <v>内部装修维护情况</v>
      </c>
      <c r="R43" s="666" t="s">
        <v>18</v>
      </c>
      <c r="S43" s="667">
        <f t="shared" si="9"/>
        <v>100</v>
      </c>
      <c r="T43" s="666" t="s">
        <v>18</v>
      </c>
      <c r="U43" s="667">
        <f t="shared" si="10"/>
        <v>100</v>
      </c>
      <c r="V43" s="666" t="s">
        <v>18</v>
      </c>
      <c r="W43" s="667">
        <f t="shared" si="11"/>
        <v>100</v>
      </c>
      <c r="X43" s="1263"/>
      <c r="Y43" s="3412"/>
      <c r="Z43" s="1262" t="str">
        <f t="shared" si="15"/>
        <v>内部装修维护情况</v>
      </c>
      <c r="AA43" s="1262">
        <f t="shared" si="12"/>
        <v>1</v>
      </c>
      <c r="AB43" s="1262">
        <f t="shared" si="13"/>
        <v>1</v>
      </c>
      <c r="AC43" s="1262">
        <f t="shared" si="14"/>
        <v>1</v>
      </c>
    </row>
    <row r="44" spans="1:29" s="101" customFormat="1" ht="15">
      <c r="A44" s="409"/>
      <c r="B44" s="3141" t="s">
        <v>3491</v>
      </c>
      <c r="C44" s="1757" t="s">
        <v>3406</v>
      </c>
      <c r="D44" s="118">
        <v>100</v>
      </c>
      <c r="E44" s="1757" t="s">
        <v>3408</v>
      </c>
      <c r="F44" s="363">
        <f>SUMIF(126:126,E44,127:127)-SUMIF(126:126,C44,127:127)+100</f>
        <v>105</v>
      </c>
      <c r="G44" s="1757" t="s">
        <v>3406</v>
      </c>
      <c r="H44" s="118">
        <f>SUMIF(126:126,G44,127:127)-SUMIF(126:126,C44,127:127)+100</f>
        <v>100</v>
      </c>
      <c r="I44" s="1757" t="s">
        <v>3408</v>
      </c>
      <c r="J44" s="118">
        <f>SUMIF(126:126,I44,127:127)-SUMIF(126:126,C44,127:127)+100</f>
        <v>105</v>
      </c>
      <c r="K44" s="1745"/>
      <c r="L44" s="2483"/>
      <c r="M44" s="2434"/>
      <c r="N44" s="2434"/>
      <c r="O44" s="2434"/>
      <c r="P44" s="3410"/>
      <c r="Q44" s="529" t="str">
        <f t="shared" si="8"/>
        <v>小区环境</v>
      </c>
      <c r="R44" s="663" t="s">
        <v>18</v>
      </c>
      <c r="S44" s="664">
        <f t="shared" si="9"/>
        <v>105</v>
      </c>
      <c r="T44" s="663" t="s">
        <v>18</v>
      </c>
      <c r="U44" s="664">
        <f t="shared" si="10"/>
        <v>100</v>
      </c>
      <c r="V44" s="663" t="s">
        <v>18</v>
      </c>
      <c r="W44" s="664">
        <f t="shared" si="11"/>
        <v>105</v>
      </c>
      <c r="X44" s="665"/>
      <c r="Y44" s="3412"/>
      <c r="Z44" s="50" t="str">
        <f t="shared" si="15"/>
        <v>小区环境</v>
      </c>
      <c r="AA44" s="50">
        <f t="shared" si="12"/>
        <v>0.95238095238095233</v>
      </c>
      <c r="AB44" s="50">
        <f t="shared" si="13"/>
        <v>1</v>
      </c>
      <c r="AC44" s="50">
        <f t="shared" si="14"/>
        <v>0.95238095238095233</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10"/>
      <c r="Q45" s="1261">
        <f t="shared" si="8"/>
        <v>111</v>
      </c>
      <c r="R45" s="666" t="s">
        <v>18</v>
      </c>
      <c r="S45" s="667">
        <f t="shared" si="9"/>
        <v>100</v>
      </c>
      <c r="T45" s="666" t="s">
        <v>18</v>
      </c>
      <c r="U45" s="667">
        <f t="shared" si="10"/>
        <v>100</v>
      </c>
      <c r="V45" s="666" t="s">
        <v>18</v>
      </c>
      <c r="W45" s="667">
        <f t="shared" si="11"/>
        <v>100</v>
      </c>
      <c r="X45" s="1263"/>
      <c r="Y45" s="3412"/>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11"/>
      <c r="Q46" s="1261">
        <f t="shared" si="8"/>
        <v>111</v>
      </c>
      <c r="R46" s="666" t="s">
        <v>17</v>
      </c>
      <c r="S46" s="667">
        <f t="shared" si="9"/>
        <v>100</v>
      </c>
      <c r="T46" s="666" t="s">
        <v>17</v>
      </c>
      <c r="U46" s="667">
        <f t="shared" si="10"/>
        <v>100</v>
      </c>
      <c r="V46" s="666" t="s">
        <v>17</v>
      </c>
      <c r="W46" s="667">
        <f t="shared" si="11"/>
        <v>100</v>
      </c>
      <c r="X46" s="1263"/>
      <c r="Y46" s="3413"/>
      <c r="Z46" s="1262">
        <f t="shared" si="15"/>
        <v>111</v>
      </c>
      <c r="AA46" s="1262">
        <f t="shared" si="12"/>
        <v>1</v>
      </c>
      <c r="AB46" s="1262">
        <f t="shared" si="13"/>
        <v>1</v>
      </c>
      <c r="AC46" s="1262">
        <f t="shared" si="14"/>
        <v>1</v>
      </c>
    </row>
    <row r="47" spans="1:29" ht="15">
      <c r="A47" s="415" t="s">
        <v>1706</v>
      </c>
      <c r="B47" s="416"/>
      <c r="C47" s="1080" t="s">
        <v>16</v>
      </c>
      <c r="D47" s="417"/>
      <c r="E47" s="418">
        <f>案例!J2</f>
        <v>90751</v>
      </c>
      <c r="F47" s="419"/>
      <c r="G47" s="420">
        <f>案例!$J$3</f>
        <v>82543</v>
      </c>
      <c r="H47" s="421"/>
      <c r="I47" s="418">
        <f>案例!$J$4</f>
        <v>92572</v>
      </c>
      <c r="J47" s="421"/>
      <c r="K47" s="1762"/>
      <c r="L47" s="2489"/>
      <c r="M47" s="2482"/>
      <c r="N47" s="2482"/>
      <c r="O47" s="2482"/>
      <c r="P47" s="3405" t="str">
        <f>A47</f>
        <v>成交单价（元/平方米）</v>
      </c>
      <c r="Q47" s="3405"/>
      <c r="R47" s="3406">
        <f>E47</f>
        <v>90751</v>
      </c>
      <c r="S47" s="3406"/>
      <c r="T47" s="3406">
        <f>G47</f>
        <v>82543</v>
      </c>
      <c r="U47" s="3406"/>
      <c r="V47" s="3406">
        <f>I47</f>
        <v>92572</v>
      </c>
      <c r="W47" s="3406"/>
      <c r="X47" s="384"/>
      <c r="Y47" s="672"/>
      <c r="Z47" s="384"/>
      <c r="AA47" s="384"/>
      <c r="AB47" s="384"/>
      <c r="AC47" s="384"/>
    </row>
    <row r="48" spans="1:29" ht="15.75" thickBot="1">
      <c r="A48" s="422" t="s">
        <v>1707</v>
      </c>
      <c r="B48" s="423"/>
      <c r="C48" s="1081">
        <f>R49</f>
        <v>88052</v>
      </c>
      <c r="D48" s="2136" t="s">
        <v>2135</v>
      </c>
      <c r="E48" s="1082">
        <f>R48</f>
        <v>88784</v>
      </c>
      <c r="F48" s="2137"/>
      <c r="G48" s="1081">
        <f>T48</f>
        <v>83051</v>
      </c>
      <c r="H48" s="2137"/>
      <c r="I48" s="1082">
        <f>V48</f>
        <v>92321</v>
      </c>
      <c r="J48" s="2137"/>
      <c r="K48" s="2138">
        <f>F48+H48+J48</f>
        <v>0</v>
      </c>
      <c r="L48" s="2489"/>
      <c r="M48" s="2482"/>
      <c r="N48" s="2482"/>
      <c r="O48" s="2482"/>
      <c r="P48" s="3405" t="str">
        <f>A48</f>
        <v>比较价值（元/平方米）</v>
      </c>
      <c r="Q48" s="3405"/>
      <c r="R48" s="3406">
        <f>IF(F1="售价",ROUND(PRODUCT(R47,AA7:AA46),0),ROUND(PRODUCT(R47,AA7:AA46),1))</f>
        <v>88784</v>
      </c>
      <c r="S48" s="3406"/>
      <c r="T48" s="3406">
        <f>IF(F1="售价",ROUND(PRODUCT(T47,AB7:AB46),0),ROUND(PRODUCT(T47,AB7:AB46),1))</f>
        <v>83051</v>
      </c>
      <c r="U48" s="3406"/>
      <c r="V48" s="3406">
        <f>IF(F1="售价",ROUND(PRODUCT(V47,AC7:AC46),0),ROUND(PRODUCT(V47,AC7:AC46),1))</f>
        <v>92321</v>
      </c>
      <c r="W48" s="3406"/>
      <c r="X48" s="384"/>
      <c r="Y48" s="384"/>
      <c r="Z48" s="384"/>
      <c r="AA48" s="384"/>
      <c r="AB48" s="384"/>
      <c r="AC48" s="384"/>
    </row>
    <row r="49" spans="1:29" ht="15.75" thickBot="1">
      <c r="A49" s="426" t="s">
        <v>1708</v>
      </c>
      <c r="B49" s="427"/>
      <c r="C49" s="1083">
        <f>R49</f>
        <v>88052</v>
      </c>
      <c r="D49" s="350"/>
      <c r="E49" s="350"/>
      <c r="F49" s="350"/>
      <c r="G49" s="350"/>
      <c r="H49" s="350"/>
      <c r="I49" s="350"/>
      <c r="J49" s="350"/>
      <c r="K49" s="1763"/>
      <c r="L49" s="2489"/>
      <c r="M49" s="2482"/>
      <c r="N49" s="2482"/>
      <c r="O49" s="2482"/>
      <c r="P49" s="3402" t="str">
        <f>A49</f>
        <v>估价对象XX用房的比较价值（楼面单价，元/平方米）</v>
      </c>
      <c r="Q49" s="3403"/>
      <c r="R49" s="3404">
        <f>IF(F1="售价",ROUND(IF(D48="简单平均",AVERAGE(R48:V48),R48*F48+T48*H48+V48*J48),0),ROUND(IF(D48="简单平均",AVERAGE(R48:V48),R48*F48+T48*H48+V48*J48),1))</f>
        <v>88052</v>
      </c>
      <c r="S49" s="3404"/>
      <c r="T49" s="3404"/>
      <c r="U49" s="3404"/>
      <c r="V49" s="3404"/>
      <c r="W49" s="3404"/>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2.2154892773472712E-2</v>
      </c>
      <c r="F52" s="434" t="str">
        <f>IF(OR(E52&gt;=0.3,E52&lt;=-0.3),"超过30%","")</f>
        <v/>
      </c>
      <c r="G52" s="433">
        <f>IF(G47&lt;G48,G48/G47-1,G47/G48-1)</f>
        <v>6.1543680263620448E-3</v>
      </c>
      <c r="H52" s="434" t="str">
        <f>IF(OR(G52&gt;=0.3,G52&lt;=-0.3),"超过30%","")</f>
        <v/>
      </c>
      <c r="I52" s="433">
        <f>IF(I47&lt;I48,I48/I47-1,I47/I48-1)</f>
        <v>2.7187747099792769E-3</v>
      </c>
      <c r="J52" s="434" t="str">
        <f>IF(OR(I52&gt;=0.3,I52&lt;=-0.3),"超过30%","")</f>
        <v/>
      </c>
      <c r="K52" s="2494"/>
      <c r="L52" s="2490"/>
      <c r="M52" s="2482"/>
      <c r="N52" s="2482"/>
      <c r="O52" s="2482"/>
    </row>
    <row r="53" spans="1:29" ht="13.5" customHeight="1">
      <c r="A53" s="2482"/>
      <c r="B53" s="2482"/>
      <c r="C53" s="431" t="s">
        <v>1710</v>
      </c>
      <c r="D53" s="435"/>
      <c r="E53" s="433">
        <f>IF(E48&lt;G48,G48/E48-1,E48/G48-1)</f>
        <v>6.9029873210436854E-2</v>
      </c>
      <c r="F53" s="434" t="str">
        <f>IF(OR(E53&gt;=0.2,E53&lt;=-0.2),"超过20%","")</f>
        <v/>
      </c>
      <c r="G53" s="433">
        <f>IF(G48&lt;I48,I48/G48-1,G48/I48-1)</f>
        <v>0.11161816233398758</v>
      </c>
      <c r="H53" s="434" t="str">
        <f>IF(OR(G53&gt;=0.2,G53&lt;=-0.2),"超过20%","")</f>
        <v/>
      </c>
      <c r="I53" s="433">
        <f>IF(I48&lt;E48,E48/I48-1,I48/E48-1)</f>
        <v>3.9838259145791977E-2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9.9439080236967348E-2</v>
      </c>
      <c r="F54" s="434" t="str">
        <f>IF(OR(E54&gt;=0.3,E54&lt;=-0.3),"超过30%","")</f>
        <v/>
      </c>
      <c r="G54" s="433">
        <f>IF(G47&lt;I47,I47/G47-1,G47/I47-1)</f>
        <v>0.12150030892989117</v>
      </c>
      <c r="H54" s="434" t="str">
        <f>IF(OR(G54&gt;=0.3,G54&lt;=-0.3),"超过30%","")</f>
        <v/>
      </c>
      <c r="I54" s="433">
        <f>IF(I47&lt;E47,E47/I47-1,I47/E47-1)</f>
        <v>2.0065894590693301E-2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2024-5</v>
      </c>
      <c r="D58" s="1102">
        <f>EDATE(C58,-1)</f>
        <v>45383</v>
      </c>
      <c r="E58" s="1102">
        <f>EDATE(D58,-1)</f>
        <v>45352</v>
      </c>
      <c r="F58" s="1102">
        <f t="shared" ref="F58:O58" si="16">EDATE(E58,-1)</f>
        <v>45323</v>
      </c>
      <c r="G58" s="1102">
        <f t="shared" si="16"/>
        <v>45292</v>
      </c>
      <c r="H58" s="1102">
        <f t="shared" si="16"/>
        <v>45261</v>
      </c>
      <c r="I58" s="1102">
        <f t="shared" si="16"/>
        <v>45231</v>
      </c>
      <c r="J58" s="1102">
        <f t="shared" si="16"/>
        <v>45200</v>
      </c>
      <c r="K58" s="1102">
        <f t="shared" si="16"/>
        <v>45170</v>
      </c>
      <c r="L58" s="1102">
        <f t="shared" si="16"/>
        <v>45139</v>
      </c>
      <c r="M58" s="1102">
        <f t="shared" si="16"/>
        <v>45108</v>
      </c>
      <c r="N58" s="1102">
        <f t="shared" si="16"/>
        <v>45078</v>
      </c>
      <c r="O58" s="1102">
        <f t="shared" si="16"/>
        <v>45047</v>
      </c>
      <c r="P58" s="3144">
        <f t="shared" ref="P58:AB58" si="17">EDATE(O58,-1)</f>
        <v>45017</v>
      </c>
      <c r="Q58" s="3144">
        <f t="shared" si="17"/>
        <v>44986</v>
      </c>
      <c r="R58" s="3144">
        <f t="shared" si="17"/>
        <v>44958</v>
      </c>
      <c r="S58" s="3144">
        <f t="shared" si="17"/>
        <v>44927</v>
      </c>
      <c r="T58" s="3144">
        <f t="shared" si="17"/>
        <v>44896</v>
      </c>
      <c r="U58" s="3144">
        <f t="shared" si="17"/>
        <v>44866</v>
      </c>
      <c r="V58" s="3144">
        <f t="shared" si="17"/>
        <v>44835</v>
      </c>
      <c r="W58" s="3144">
        <f t="shared" si="17"/>
        <v>44805</v>
      </c>
      <c r="X58" s="3144">
        <f t="shared" si="17"/>
        <v>44774</v>
      </c>
      <c r="Y58" s="3144">
        <f t="shared" si="17"/>
        <v>44743</v>
      </c>
      <c r="Z58" s="3144">
        <f t="shared" si="17"/>
        <v>44713</v>
      </c>
      <c r="AA58" s="3144">
        <f t="shared" si="17"/>
        <v>44682</v>
      </c>
      <c r="AB58" s="3144">
        <f t="shared" si="17"/>
        <v>44652</v>
      </c>
    </row>
    <row r="59" spans="1:29" s="101" customFormat="1" ht="15">
      <c r="A59" s="442"/>
      <c r="B59" s="1767"/>
      <c r="C59" s="1100">
        <v>100</v>
      </c>
      <c r="D59" s="444">
        <f>C59</f>
        <v>100</v>
      </c>
      <c r="E59" s="445">
        <f>D59+$C$60</f>
        <v>100.5</v>
      </c>
      <c r="F59" s="445">
        <f>E59</f>
        <v>100.5</v>
      </c>
      <c r="G59" s="445">
        <f>F59</f>
        <v>100.5</v>
      </c>
      <c r="H59" s="445">
        <f>G59+$C$60</f>
        <v>101</v>
      </c>
      <c r="I59" s="445">
        <f>H59</f>
        <v>101</v>
      </c>
      <c r="J59" s="445">
        <f>H59</f>
        <v>101</v>
      </c>
      <c r="K59" s="445">
        <f>J59+$C$60</f>
        <v>101.5</v>
      </c>
      <c r="L59" s="446">
        <f>K59</f>
        <v>101.5</v>
      </c>
      <c r="M59" s="446">
        <f>L59</f>
        <v>101.5</v>
      </c>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f>108.8*100/108.1</f>
        <v>100.64754856614246</v>
      </c>
      <c r="E60" s="451"/>
      <c r="F60" s="451"/>
      <c r="G60" s="451"/>
      <c r="H60" s="451">
        <f>109.9*100/108.1</f>
        <v>101.66512488436634</v>
      </c>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3456</v>
      </c>
      <c r="D65" s="3146" t="s">
        <v>3457</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3" t="s">
        <v>3484</v>
      </c>
      <c r="D90" s="3173" t="s">
        <v>3485</v>
      </c>
      <c r="E90" s="3173" t="s">
        <v>3486</v>
      </c>
      <c r="F90" s="3173"/>
      <c r="G90" s="3173"/>
      <c r="H90" s="3173"/>
      <c r="I90" s="485"/>
      <c r="J90" s="485"/>
      <c r="K90" s="485"/>
      <c r="L90" s="486"/>
      <c r="M90" s="487"/>
      <c r="N90" s="880"/>
      <c r="O90" s="880"/>
      <c r="P90" s="1771"/>
      <c r="Q90" s="489"/>
    </row>
    <row r="91" spans="1:17" s="407" customFormat="1" ht="15.75" thickBot="1">
      <c r="A91" s="483"/>
      <c r="B91" s="473"/>
      <c r="C91" s="490">
        <v>100</v>
      </c>
      <c r="D91" s="407">
        <f>C91-$J$91</f>
        <v>98</v>
      </c>
      <c r="E91" s="407">
        <f>D91-$J$91</f>
        <v>96</v>
      </c>
      <c r="F91" s="490"/>
      <c r="G91" s="490"/>
      <c r="I91" s="492"/>
      <c r="J91" s="492">
        <v>2</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70(含)-80</v>
      </c>
      <c r="H102" s="508" t="str">
        <f t="shared" si="23"/>
        <v>80(含)-90</v>
      </c>
      <c r="I102" s="508" t="str">
        <f t="shared" si="23"/>
        <v>90(含)-</v>
      </c>
      <c r="J102" s="508" t="str">
        <f t="shared" si="23"/>
        <v>(含)-</v>
      </c>
      <c r="K102" s="508" t="str">
        <f>K103&amp;"(含)"&amp;"-"&amp;L103</f>
        <v>(含)-1</v>
      </c>
      <c r="L102" s="508" t="str">
        <f t="shared" si="23"/>
        <v>1(含)-</v>
      </c>
      <c r="M102" s="508" t="str">
        <f>M103&amp;"(含)"&amp;"-"&amp;P103</f>
        <v>(含)-</v>
      </c>
      <c r="N102" s="877"/>
      <c r="O102" s="877"/>
      <c r="P102" s="1770"/>
      <c r="Q102" s="438"/>
    </row>
    <row r="103" spans="1:17" s="407" customFormat="1">
      <c r="A103" s="405"/>
      <c r="B103" s="522"/>
      <c r="C103" s="6">
        <v>0</v>
      </c>
      <c r="D103" s="6">
        <v>40</v>
      </c>
      <c r="E103" s="6">
        <v>50</v>
      </c>
      <c r="F103" s="6">
        <v>60</v>
      </c>
      <c r="G103" s="6">
        <v>70</v>
      </c>
      <c r="H103" s="6">
        <v>80</v>
      </c>
      <c r="I103" s="6">
        <v>90</v>
      </c>
      <c r="J103" s="523"/>
      <c r="K103" s="523"/>
      <c r="L103" s="523">
        <v>1</v>
      </c>
      <c r="M103" s="525"/>
      <c r="N103" s="880"/>
      <c r="O103" s="880"/>
      <c r="P103" s="1771"/>
      <c r="Q103" s="489"/>
    </row>
    <row r="104" spans="1:17" s="407" customFormat="1" ht="15.75" thickBot="1">
      <c r="A104" s="483"/>
      <c r="B104" s="473"/>
      <c r="C104" s="466">
        <v>115</v>
      </c>
      <c r="D104" s="466">
        <v>112</v>
      </c>
      <c r="E104" s="466">
        <v>109</v>
      </c>
      <c r="F104" s="466">
        <v>106</v>
      </c>
      <c r="G104" s="466">
        <v>103</v>
      </c>
      <c r="H104" s="466">
        <v>100</v>
      </c>
      <c r="I104" s="466">
        <v>97</v>
      </c>
      <c r="J104" s="466"/>
      <c r="K104" s="466"/>
      <c r="L104" s="466"/>
      <c r="M104" s="466"/>
      <c r="N104" s="879"/>
      <c r="O104" s="879"/>
      <c r="P104" s="1771"/>
      <c r="Q104" s="489"/>
    </row>
    <row r="105" spans="1:17" ht="15" thickTop="1">
      <c r="A105" s="408"/>
      <c r="B105" s="468" t="s">
        <v>1736</v>
      </c>
      <c r="C105" s="3140" t="s">
        <v>3412</v>
      </c>
      <c r="D105" s="3140" t="s">
        <v>3442</v>
      </c>
      <c r="E105" s="3146" t="s">
        <v>3458</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4">C106-$K34</f>
        <v>99.5</v>
      </c>
      <c r="E106" s="474">
        <f t="shared" si="24"/>
        <v>99</v>
      </c>
      <c r="F106" s="474">
        <f t="shared" si="24"/>
        <v>98.5</v>
      </c>
      <c r="G106" s="474">
        <f t="shared" si="24"/>
        <v>98</v>
      </c>
      <c r="H106" s="474">
        <f t="shared" si="24"/>
        <v>97.5</v>
      </c>
      <c r="I106" s="474">
        <f t="shared" si="24"/>
        <v>97</v>
      </c>
      <c r="J106" s="474">
        <f t="shared" si="24"/>
        <v>96.5</v>
      </c>
      <c r="K106" s="474">
        <f t="shared" si="24"/>
        <v>96</v>
      </c>
      <c r="L106" s="474">
        <f t="shared" si="24"/>
        <v>95.5</v>
      </c>
      <c r="M106" s="474">
        <f t="shared" si="24"/>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5">C108-$K35</f>
        <v>97</v>
      </c>
      <c r="E108" s="474">
        <f t="shared" si="25"/>
        <v>94</v>
      </c>
      <c r="F108" s="474">
        <f t="shared" si="25"/>
        <v>91</v>
      </c>
      <c r="G108" s="474">
        <f t="shared" si="25"/>
        <v>88</v>
      </c>
      <c r="H108" s="474">
        <f t="shared" si="25"/>
        <v>85</v>
      </c>
      <c r="I108" s="474">
        <f t="shared" si="25"/>
        <v>82</v>
      </c>
      <c r="J108" s="474">
        <f t="shared" si="25"/>
        <v>79</v>
      </c>
      <c r="K108" s="474">
        <f t="shared" si="25"/>
        <v>76</v>
      </c>
      <c r="L108" s="474">
        <f t="shared" si="25"/>
        <v>73</v>
      </c>
      <c r="M108" s="474">
        <f t="shared" si="25"/>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6">C110-$K36</f>
        <v>100</v>
      </c>
      <c r="E110" s="474">
        <f t="shared" si="26"/>
        <v>100</v>
      </c>
      <c r="F110" s="474">
        <f t="shared" si="26"/>
        <v>100</v>
      </c>
      <c r="G110" s="474">
        <f t="shared" si="26"/>
        <v>100</v>
      </c>
      <c r="H110" s="474">
        <f t="shared" si="26"/>
        <v>100</v>
      </c>
      <c r="I110" s="474">
        <f t="shared" si="26"/>
        <v>100</v>
      </c>
      <c r="J110" s="474">
        <f t="shared" si="26"/>
        <v>100</v>
      </c>
      <c r="K110" s="474">
        <f t="shared" si="26"/>
        <v>100</v>
      </c>
      <c r="L110" s="474">
        <f t="shared" si="26"/>
        <v>100</v>
      </c>
      <c r="M110" s="474">
        <f t="shared" si="2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7">C115-$K38</f>
        <v>99</v>
      </c>
      <c r="E115" s="474">
        <f t="shared" si="27"/>
        <v>98</v>
      </c>
      <c r="F115" s="474">
        <f t="shared" si="27"/>
        <v>97</v>
      </c>
      <c r="G115" s="474">
        <f t="shared" si="27"/>
        <v>96</v>
      </c>
      <c r="H115" s="474">
        <f t="shared" si="27"/>
        <v>95</v>
      </c>
      <c r="I115" s="474">
        <f t="shared" si="27"/>
        <v>94</v>
      </c>
      <c r="J115" s="474">
        <f t="shared" si="27"/>
        <v>93</v>
      </c>
      <c r="K115" s="474">
        <f t="shared" si="27"/>
        <v>92</v>
      </c>
      <c r="L115" s="474">
        <f t="shared" si="27"/>
        <v>91</v>
      </c>
      <c r="M115" s="474">
        <f t="shared" si="27"/>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8">C119-$K40</f>
        <v>100</v>
      </c>
      <c r="E119" s="474">
        <f t="shared" si="28"/>
        <v>100</v>
      </c>
      <c r="F119" s="474">
        <f t="shared" si="28"/>
        <v>100</v>
      </c>
      <c r="G119" s="474">
        <f t="shared" si="28"/>
        <v>100</v>
      </c>
      <c r="H119" s="474">
        <f t="shared" si="28"/>
        <v>100</v>
      </c>
      <c r="I119" s="474">
        <f t="shared" si="28"/>
        <v>100</v>
      </c>
      <c r="J119" s="474">
        <f t="shared" si="28"/>
        <v>100</v>
      </c>
      <c r="K119" s="474">
        <f t="shared" si="28"/>
        <v>100</v>
      </c>
      <c r="L119" s="474">
        <f t="shared" si="28"/>
        <v>100</v>
      </c>
      <c r="M119" s="474">
        <f t="shared" si="28"/>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3489</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29">C123-$K42</f>
        <v>98</v>
      </c>
      <c r="E123" s="474">
        <f t="shared" si="29"/>
        <v>96</v>
      </c>
      <c r="F123" s="474">
        <f t="shared" si="29"/>
        <v>94</v>
      </c>
      <c r="G123" s="474">
        <f t="shared" si="29"/>
        <v>92</v>
      </c>
      <c r="H123" s="474">
        <f t="shared" si="29"/>
        <v>90</v>
      </c>
      <c r="I123" s="474">
        <f t="shared" si="29"/>
        <v>88</v>
      </c>
      <c r="J123" s="474">
        <f t="shared" si="29"/>
        <v>86</v>
      </c>
      <c r="K123" s="474">
        <f t="shared" si="29"/>
        <v>84</v>
      </c>
      <c r="L123" s="474">
        <f t="shared" si="29"/>
        <v>82</v>
      </c>
      <c r="M123" s="474">
        <f t="shared" si="29"/>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小区环境</v>
      </c>
      <c r="C126" s="508" t="s">
        <v>1719</v>
      </c>
      <c r="D126" s="508" t="s">
        <v>1720</v>
      </c>
      <c r="E126" s="508" t="s">
        <v>1721</v>
      </c>
      <c r="F126" s="508" t="s">
        <v>1722</v>
      </c>
      <c r="G126" s="508" t="s">
        <v>1723</v>
      </c>
      <c r="H126" s="485"/>
      <c r="I126" s="485">
        <v>5</v>
      </c>
      <c r="J126" s="485"/>
      <c r="K126" s="485"/>
      <c r="L126" s="486"/>
      <c r="M126" s="487"/>
      <c r="N126" s="880"/>
      <c r="O126" s="880"/>
      <c r="P126" s="1771"/>
      <c r="Q126" s="489"/>
    </row>
    <row r="127" spans="1:17" s="407" customFormat="1" ht="15.75" thickBot="1">
      <c r="A127" s="483"/>
      <c r="B127" s="473"/>
      <c r="C127" s="490">
        <v>100</v>
      </c>
      <c r="D127" s="466">
        <f>C127-$I$126</f>
        <v>95</v>
      </c>
      <c r="E127" s="466">
        <f>D127-$I$126</f>
        <v>90</v>
      </c>
      <c r="F127" s="466">
        <f>E127-$I$126</f>
        <v>85</v>
      </c>
      <c r="G127" s="490">
        <v>101</v>
      </c>
      <c r="H127" s="492"/>
      <c r="I127" s="492"/>
      <c r="J127" s="492"/>
      <c r="K127" s="492"/>
      <c r="L127" s="492"/>
      <c r="M127" s="493"/>
      <c r="N127" s="880"/>
      <c r="O127" s="880"/>
      <c r="P127" s="1771"/>
      <c r="Q127" s="489"/>
    </row>
    <row r="128" spans="1:17" ht="15" thickTop="1">
      <c r="A128" s="408"/>
      <c r="B128" s="468">
        <f>B45</f>
        <v>111</v>
      </c>
      <c r="C128" s="484">
        <v>2005</v>
      </c>
      <c r="D128" s="484">
        <v>2004</v>
      </c>
      <c r="E128" s="484">
        <v>2003</v>
      </c>
      <c r="F128" s="484">
        <v>2002</v>
      </c>
      <c r="G128" s="512">
        <v>2001</v>
      </c>
      <c r="H128" s="512"/>
      <c r="I128" s="3189">
        <v>0.5</v>
      </c>
      <c r="J128" s="512"/>
      <c r="K128" s="513"/>
      <c r="L128" s="514"/>
      <c r="M128" s="515"/>
      <c r="N128" s="878"/>
      <c r="O128" s="878"/>
      <c r="P128" s="1770"/>
      <c r="Q128" s="438"/>
    </row>
    <row r="129" spans="1:17" ht="15.75" thickBot="1">
      <c r="A129" s="366"/>
      <c r="B129" s="473"/>
      <c r="C129" s="490">
        <v>100</v>
      </c>
      <c r="D129" s="490">
        <f>C129-$I$128</f>
        <v>99.5</v>
      </c>
      <c r="E129" s="490">
        <f t="shared" ref="E129:G129" si="30">D129-$I$128</f>
        <v>99</v>
      </c>
      <c r="F129" s="490">
        <f t="shared" si="30"/>
        <v>98.5</v>
      </c>
      <c r="G129" s="490">
        <f t="shared" si="30"/>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5" stopIfTrue="1">
      <formula>$F$52="超过30%"</formula>
    </cfRule>
  </conditionalFormatting>
  <conditionalFormatting sqref="E53">
    <cfRule type="expression" dxfId="97" priority="12" stopIfTrue="1">
      <formula>$F$53="超过20%"</formula>
    </cfRule>
  </conditionalFormatting>
  <conditionalFormatting sqref="E54">
    <cfRule type="expression" dxfId="96" priority="11" stopIfTrue="1">
      <formula>$F$54="超过30%"</formula>
    </cfRule>
  </conditionalFormatting>
  <conditionalFormatting sqref="F7:F46 H7:H46">
    <cfRule type="cellIs" dxfId="95" priority="1" operator="notEqual">
      <formula>100</formula>
    </cfRule>
  </conditionalFormatting>
  <conditionalFormatting sqref="F52:F54 H52:H54 J52:J54">
    <cfRule type="containsText" dxfId="94" priority="16" stopIfTrue="1" operator="containsText" text="超过">
      <formula>NOT(ISERROR(SEARCH("超过",F52)))</formula>
    </cfRule>
  </conditionalFormatting>
  <conditionalFormatting sqref="G52">
    <cfRule type="expression" dxfId="93" priority="10" stopIfTrue="1">
      <formula>$H$52="超过30%"</formula>
    </cfRule>
  </conditionalFormatting>
  <conditionalFormatting sqref="G53">
    <cfRule type="expression" dxfId="92" priority="9" stopIfTrue="1">
      <formula>$H$53="超过20%"</formula>
    </cfRule>
  </conditionalFormatting>
  <conditionalFormatting sqref="G54">
    <cfRule type="expression" dxfId="91" priority="13" stopIfTrue="1">
      <formula>$H$54="超过30%"</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7:J46">
    <cfRule type="cellIs" dxfId="87" priority="2" operator="notEqual">
      <formula>100</formula>
    </cfRule>
  </conditionalFormatting>
  <dataValidations count="23">
    <dataValidation type="list" allowBlank="1" showInputMessage="1" showErrorMessage="1" sqref="E24 G24 I24 C24">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C26 I26 G26">
      <formula1>住宅朝向</formula1>
    </dataValidation>
    <dataValidation type="list" allowBlank="1" showInputMessage="1" showErrorMessage="1" sqref="C32 E32 I32 G32">
      <formula1>住宅建筑类型</formula1>
    </dataValidation>
    <dataValidation type="list" allowBlank="1" showInputMessage="1" showErrorMessage="1" sqref="C34 G34 E34 I34">
      <formula1>住宅建筑结构</formula1>
    </dataValidation>
    <dataValidation type="list" allowBlank="1" showInputMessage="1" showErrorMessage="1" sqref="E35 G35 I35 C35">
      <formula1>住宅建筑品质</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C42 E42 G42 I42 C36 E36 G36 I36">
      <formula1>住宅内部装修</formula1>
    </dataValidation>
    <dataValidation type="list" allowBlank="1" showInputMessage="1" showErrorMessage="1" sqref="C43:C44 E43:E44 I43:I44 G43:G44">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81.66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06"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06"/>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06"/>
      <c r="AC6" s="3419"/>
    </row>
    <row r="7" spans="1:29" s="101" customFormat="1" ht="15.75" thickBot="1">
      <c r="A7" s="351" t="s">
        <v>1679</v>
      </c>
      <c r="B7" s="352"/>
      <c r="C7" s="353">
        <f>'数据-取费表'!B2</f>
        <v>45435</v>
      </c>
      <c r="D7" s="354">
        <v>100</v>
      </c>
      <c r="E7" s="355"/>
      <c r="F7" s="356">
        <f>SUMIF(58:58,YEAR(E7)&amp;"-"&amp;MONTH(E7),59:59)</f>
        <v>0</v>
      </c>
      <c r="G7" s="355"/>
      <c r="H7" s="354">
        <f>SUMIF(58:58,YEAR(G7)&amp;"-"&amp;MONTH(G7),59:59)</f>
        <v>0</v>
      </c>
      <c r="I7" s="355"/>
      <c r="J7" s="354">
        <f>SUMIF(58:58,YEAR(I7)&amp;"-"&amp;MONTH(I7),59:59)</f>
        <v>0</v>
      </c>
      <c r="K7" s="38"/>
      <c r="L7" s="2483"/>
      <c r="M7" s="2434"/>
      <c r="N7" s="2434"/>
      <c r="O7" s="2434"/>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40" t="s">
        <v>1683</v>
      </c>
      <c r="Q8" s="3441"/>
      <c r="R8" s="663" t="s">
        <v>14</v>
      </c>
      <c r="S8" s="664">
        <f t="shared" si="0"/>
        <v>100</v>
      </c>
      <c r="T8" s="663" t="s">
        <v>14</v>
      </c>
      <c r="U8" s="664">
        <f t="shared" si="1"/>
        <v>100</v>
      </c>
      <c r="V8" s="663" t="s">
        <v>14</v>
      </c>
      <c r="W8" s="664">
        <f t="shared" si="2"/>
        <v>100</v>
      </c>
      <c r="X8" s="665"/>
      <c r="Y8" s="3440" t="s">
        <v>1683</v>
      </c>
      <c r="Z8" s="3441"/>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16"/>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6"/>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6"/>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6"/>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6"/>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4" t="s">
        <v>1691</v>
      </c>
      <c r="Q15" s="1261" t="str">
        <f t="shared" si="6"/>
        <v>商业繁华度</v>
      </c>
      <c r="R15" s="666" t="s">
        <v>14</v>
      </c>
      <c r="S15" s="667">
        <f t="shared" si="0"/>
        <v>100</v>
      </c>
      <c r="T15" s="666" t="s">
        <v>14</v>
      </c>
      <c r="U15" s="667">
        <f t="shared" si="1"/>
        <v>100</v>
      </c>
      <c r="V15" s="666" t="s">
        <v>14</v>
      </c>
      <c r="W15" s="667">
        <f t="shared" si="2"/>
        <v>100</v>
      </c>
      <c r="X15" s="1263"/>
      <c r="Y15" s="3407"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5"/>
      <c r="Q16" s="1261"/>
      <c r="R16" s="666"/>
      <c r="S16" s="667"/>
      <c r="T16" s="666"/>
      <c r="U16" s="667"/>
      <c r="V16" s="666"/>
      <c r="W16" s="667"/>
      <c r="X16" s="1263"/>
      <c r="Y16" s="3408"/>
      <c r="Z16" s="1262"/>
      <c r="AA16" s="1262">
        <v>1</v>
      </c>
      <c r="AB16" s="1262">
        <v>1</v>
      </c>
      <c r="AC16" s="1262">
        <v>1</v>
      </c>
    </row>
    <row r="17" spans="1:29" ht="142.5">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5"/>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5"/>
      <c r="Q18" s="1261"/>
      <c r="R18" s="666"/>
      <c r="S18" s="667"/>
      <c r="T18" s="666"/>
      <c r="U18" s="667"/>
      <c r="V18" s="666"/>
      <c r="W18" s="667"/>
      <c r="X18" s="1263"/>
      <c r="Y18" s="3408"/>
      <c r="Z18" s="1262"/>
      <c r="AA18" s="1262">
        <v>1</v>
      </c>
      <c r="AB18" s="1262">
        <v>1</v>
      </c>
      <c r="AC18" s="1262">
        <v>1</v>
      </c>
    </row>
    <row r="19" spans="1:29" ht="285">
      <c r="A19" s="366"/>
      <c r="B19" s="389" t="s">
        <v>1775</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5"/>
      <c r="Q19" s="1261" t="str">
        <f>B19</f>
        <v>公共配套设施</v>
      </c>
      <c r="R19" s="666" t="s">
        <v>14</v>
      </c>
      <c r="S19" s="667">
        <f>F19</f>
        <v>100</v>
      </c>
      <c r="T19" s="666" t="s">
        <v>14</v>
      </c>
      <c r="U19" s="667">
        <f>H19</f>
        <v>100</v>
      </c>
      <c r="V19" s="666" t="s">
        <v>14</v>
      </c>
      <c r="W19" s="667">
        <f>J19</f>
        <v>100</v>
      </c>
      <c r="X19" s="1263"/>
      <c r="Y19" s="3408"/>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5"/>
      <c r="Q20" s="1261"/>
      <c r="R20" s="666"/>
      <c r="S20" s="667"/>
      <c r="T20" s="666"/>
      <c r="U20" s="667"/>
      <c r="V20" s="666"/>
      <c r="W20" s="667"/>
      <c r="X20" s="1263"/>
      <c r="Y20" s="3408"/>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5"/>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5"/>
      <c r="Q22" s="1261"/>
      <c r="R22" s="666"/>
      <c r="S22" s="667"/>
      <c r="T22" s="666"/>
      <c r="U22" s="667"/>
      <c r="V22" s="666"/>
      <c r="W22" s="667"/>
      <c r="X22" s="1263"/>
      <c r="Y22" s="3408"/>
      <c r="Z22" s="1262"/>
      <c r="AA22" s="1262">
        <v>1</v>
      </c>
      <c r="AB22" s="1262">
        <v>1</v>
      </c>
      <c r="AC22" s="1262">
        <v>1</v>
      </c>
    </row>
    <row r="23" spans="1:29" ht="114">
      <c r="A23" s="366"/>
      <c r="B23" s="389" t="s">
        <v>1261</v>
      </c>
      <c r="C23" s="1801" t="str">
        <f>估价对象房地状况!C9</f>
        <v>自然环境：团结湖公园等自然景观；
人文环境：当代美术馆等人文场所；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5"/>
      <c r="Q23" s="1261" t="str">
        <f>B23</f>
        <v>自然及人文环境</v>
      </c>
      <c r="R23" s="666" t="s">
        <v>14</v>
      </c>
      <c r="S23" s="667">
        <f>F23</f>
        <v>100</v>
      </c>
      <c r="T23" s="666" t="s">
        <v>14</v>
      </c>
      <c r="U23" s="667">
        <f>H23</f>
        <v>100</v>
      </c>
      <c r="V23" s="666" t="s">
        <v>14</v>
      </c>
      <c r="W23" s="667">
        <f>J23</f>
        <v>100</v>
      </c>
      <c r="X23" s="1263"/>
      <c r="Y23" s="3408"/>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5"/>
      <c r="Q24" s="1261"/>
      <c r="R24" s="666"/>
      <c r="S24" s="667"/>
      <c r="T24" s="666"/>
      <c r="U24" s="667"/>
      <c r="V24" s="666"/>
      <c r="W24" s="667"/>
      <c r="X24" s="1263"/>
      <c r="Y24" s="3408"/>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5"/>
      <c r="Q25" s="1261" t="str">
        <f t="shared" ref="Q25:Q46" si="8">B25</f>
        <v>临街状况</v>
      </c>
      <c r="R25" s="666" t="s">
        <v>14</v>
      </c>
      <c r="S25" s="667">
        <f>F25</f>
        <v>100</v>
      </c>
      <c r="T25" s="666" t="s">
        <v>14</v>
      </c>
      <c r="U25" s="667">
        <f>H25</f>
        <v>100</v>
      </c>
      <c r="V25" s="666" t="s">
        <v>14</v>
      </c>
      <c r="W25" s="667">
        <f>J25</f>
        <v>100</v>
      </c>
      <c r="X25" s="1263"/>
      <c r="Y25" s="3408"/>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5"/>
      <c r="Q26" s="1261" t="str">
        <f t="shared" si="8"/>
        <v>平面位置/可视性</v>
      </c>
      <c r="R26" s="666" t="s">
        <v>14</v>
      </c>
      <c r="S26" s="667">
        <f>F26</f>
        <v>100</v>
      </c>
      <c r="T26" s="666" t="s">
        <v>14</v>
      </c>
      <c r="U26" s="667">
        <f>H26</f>
        <v>100</v>
      </c>
      <c r="V26" s="666" t="s">
        <v>14</v>
      </c>
      <c r="W26" s="667">
        <f>J26</f>
        <v>100</v>
      </c>
      <c r="X26" s="1263"/>
      <c r="Y26" s="3408"/>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5"/>
      <c r="Q27" s="529" t="str">
        <f t="shared" si="8"/>
        <v>人流量</v>
      </c>
      <c r="R27" s="663" t="s">
        <v>14</v>
      </c>
      <c r="S27" s="664">
        <f>F27</f>
        <v>100</v>
      </c>
      <c r="T27" s="663" t="s">
        <v>14</v>
      </c>
      <c r="U27" s="664">
        <f>H27</f>
        <v>100</v>
      </c>
      <c r="V27" s="663" t="s">
        <v>14</v>
      </c>
      <c r="W27" s="664">
        <f>J27</f>
        <v>100</v>
      </c>
      <c r="X27" s="665"/>
      <c r="Y27" s="3408"/>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5"/>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8"/>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5"/>
      <c r="Q29" s="1261">
        <f t="shared" si="8"/>
        <v>111</v>
      </c>
      <c r="R29" s="666" t="s">
        <v>14</v>
      </c>
      <c r="S29" s="667">
        <f t="shared" si="9"/>
        <v>100</v>
      </c>
      <c r="T29" s="666" t="s">
        <v>14</v>
      </c>
      <c r="U29" s="667">
        <f t="shared" si="10"/>
        <v>100</v>
      </c>
      <c r="V29" s="666" t="s">
        <v>14</v>
      </c>
      <c r="W29" s="667">
        <f t="shared" si="11"/>
        <v>100</v>
      </c>
      <c r="X29" s="1263"/>
      <c r="Y29" s="3408"/>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5"/>
      <c r="Q30" s="1261">
        <f t="shared" si="8"/>
        <v>111</v>
      </c>
      <c r="R30" s="666" t="s">
        <v>14</v>
      </c>
      <c r="S30" s="667">
        <f t="shared" si="9"/>
        <v>100</v>
      </c>
      <c r="T30" s="666" t="s">
        <v>14</v>
      </c>
      <c r="U30" s="667">
        <f t="shared" si="10"/>
        <v>100</v>
      </c>
      <c r="V30" s="666" t="s">
        <v>14</v>
      </c>
      <c r="W30" s="667">
        <f t="shared" si="11"/>
        <v>100</v>
      </c>
      <c r="X30" s="1263"/>
      <c r="Y30" s="3408"/>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5"/>
      <c r="Q31" s="1261">
        <f t="shared" si="8"/>
        <v>111</v>
      </c>
      <c r="R31" s="666" t="s">
        <v>14</v>
      </c>
      <c r="S31" s="667">
        <f t="shared" si="9"/>
        <v>100</v>
      </c>
      <c r="T31" s="666" t="s">
        <v>14</v>
      </c>
      <c r="U31" s="667">
        <f t="shared" si="10"/>
        <v>100</v>
      </c>
      <c r="V31" s="666" t="s">
        <v>14</v>
      </c>
      <c r="W31" s="667">
        <f t="shared" si="11"/>
        <v>100</v>
      </c>
      <c r="X31" s="1263"/>
      <c r="Y31" s="3408"/>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9" t="s">
        <v>1696</v>
      </c>
      <c r="Q32" s="1261" t="str">
        <f t="shared" si="8"/>
        <v>商业类型</v>
      </c>
      <c r="R32" s="666" t="s">
        <v>14</v>
      </c>
      <c r="S32" s="667">
        <f t="shared" si="9"/>
        <v>100</v>
      </c>
      <c r="T32" s="666" t="s">
        <v>14</v>
      </c>
      <c r="U32" s="667">
        <f t="shared" si="10"/>
        <v>100</v>
      </c>
      <c r="V32" s="666" t="s">
        <v>14</v>
      </c>
      <c r="W32" s="667">
        <f t="shared" si="11"/>
        <v>100</v>
      </c>
      <c r="X32" s="1263"/>
      <c r="Y32" s="3412"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10"/>
      <c r="Q33" s="530" t="str">
        <f t="shared" si="8"/>
        <v>项目建筑规模</v>
      </c>
      <c r="R33" s="668" t="s">
        <v>14</v>
      </c>
      <c r="S33" s="669" t="e">
        <f t="shared" si="9"/>
        <v>#N/A</v>
      </c>
      <c r="T33" s="668" t="s">
        <v>14</v>
      </c>
      <c r="U33" s="669" t="e">
        <f t="shared" si="10"/>
        <v>#N/A</v>
      </c>
      <c r="V33" s="668" t="s">
        <v>14</v>
      </c>
      <c r="W33" s="669" t="e">
        <f t="shared" si="11"/>
        <v>#N/A</v>
      </c>
      <c r="X33" s="670"/>
      <c r="Y33" s="3412"/>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10"/>
      <c r="Q34" s="1261" t="str">
        <f t="shared" si="8"/>
        <v>建筑结构</v>
      </c>
      <c r="R34" s="666" t="s">
        <v>14</v>
      </c>
      <c r="S34" s="667">
        <f t="shared" si="9"/>
        <v>100</v>
      </c>
      <c r="T34" s="666" t="s">
        <v>14</v>
      </c>
      <c r="U34" s="667">
        <f t="shared" si="10"/>
        <v>100</v>
      </c>
      <c r="V34" s="666" t="s">
        <v>14</v>
      </c>
      <c r="W34" s="667">
        <f t="shared" si="11"/>
        <v>100</v>
      </c>
      <c r="X34" s="1263"/>
      <c r="Y34" s="3412"/>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10"/>
      <c r="Q35" s="1261" t="str">
        <f t="shared" si="8"/>
        <v>公共部分装修</v>
      </c>
      <c r="R35" s="666" t="s">
        <v>14</v>
      </c>
      <c r="S35" s="667">
        <f t="shared" si="9"/>
        <v>100</v>
      </c>
      <c r="T35" s="666" t="s">
        <v>14</v>
      </c>
      <c r="U35" s="667">
        <f t="shared" si="10"/>
        <v>100</v>
      </c>
      <c r="V35" s="666" t="s">
        <v>14</v>
      </c>
      <c r="W35" s="667">
        <f t="shared" si="11"/>
        <v>100</v>
      </c>
      <c r="X35" s="1263"/>
      <c r="Y35" s="3412"/>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10"/>
      <c r="Q36" s="1261" t="str">
        <f t="shared" si="8"/>
        <v>成新度</v>
      </c>
      <c r="R36" s="666" t="s">
        <v>14</v>
      </c>
      <c r="S36" s="667" t="e">
        <f t="shared" si="9"/>
        <v>#N/A</v>
      </c>
      <c r="T36" s="666" t="s">
        <v>14</v>
      </c>
      <c r="U36" s="667" t="e">
        <f t="shared" si="10"/>
        <v>#N/A</v>
      </c>
      <c r="V36" s="666" t="s">
        <v>14</v>
      </c>
      <c r="W36" s="667" t="e">
        <f t="shared" si="11"/>
        <v>#N/A</v>
      </c>
      <c r="X36" s="1263"/>
      <c r="Y36" s="3412"/>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10"/>
      <c r="Q37" s="529" t="str">
        <f t="shared" si="8"/>
        <v>市政基础设施</v>
      </c>
      <c r="R37" s="663" t="s">
        <v>14</v>
      </c>
      <c r="S37" s="664">
        <f t="shared" si="9"/>
        <v>100</v>
      </c>
      <c r="T37" s="663" t="s">
        <v>14</v>
      </c>
      <c r="U37" s="664">
        <f t="shared" si="10"/>
        <v>100</v>
      </c>
      <c r="V37" s="663" t="s">
        <v>14</v>
      </c>
      <c r="W37" s="664">
        <f t="shared" si="11"/>
        <v>100</v>
      </c>
      <c r="X37" s="665"/>
      <c r="Y37" s="3412"/>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10" t="s">
        <v>1696</v>
      </c>
      <c r="Q38" s="1261" t="str">
        <f t="shared" si="8"/>
        <v>业态</v>
      </c>
      <c r="R38" s="666" t="s">
        <v>14</v>
      </c>
      <c r="S38" s="667">
        <f t="shared" si="9"/>
        <v>100</v>
      </c>
      <c r="T38" s="666" t="s">
        <v>14</v>
      </c>
      <c r="U38" s="667">
        <f t="shared" si="10"/>
        <v>100</v>
      </c>
      <c r="V38" s="666" t="s">
        <v>14</v>
      </c>
      <c r="W38" s="667">
        <f t="shared" si="11"/>
        <v>100</v>
      </c>
      <c r="X38" s="1263"/>
      <c r="Y38" s="3412"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10"/>
      <c r="Q39" s="1261" t="str">
        <f t="shared" si="8"/>
        <v>层高</v>
      </c>
      <c r="R39" s="666" t="s">
        <v>14</v>
      </c>
      <c r="S39" s="667">
        <f t="shared" si="9"/>
        <v>100</v>
      </c>
      <c r="T39" s="666" t="s">
        <v>14</v>
      </c>
      <c r="U39" s="667">
        <f t="shared" si="10"/>
        <v>100</v>
      </c>
      <c r="V39" s="666" t="s">
        <v>14</v>
      </c>
      <c r="W39" s="667">
        <f t="shared" si="11"/>
        <v>100</v>
      </c>
      <c r="X39" s="1263"/>
      <c r="Y39" s="3412"/>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10"/>
      <c r="Q40" s="1261" t="str">
        <f t="shared" si="8"/>
        <v>单套建筑面积</v>
      </c>
      <c r="R40" s="666" t="s">
        <v>14</v>
      </c>
      <c r="S40" s="667">
        <f t="shared" si="9"/>
        <v>100</v>
      </c>
      <c r="T40" s="666" t="s">
        <v>14</v>
      </c>
      <c r="U40" s="667">
        <f t="shared" si="10"/>
        <v>100</v>
      </c>
      <c r="V40" s="666" t="s">
        <v>14</v>
      </c>
      <c r="W40" s="667">
        <f t="shared" si="11"/>
        <v>100</v>
      </c>
      <c r="X40" s="1263"/>
      <c r="Y40" s="3412"/>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10"/>
      <c r="Q41" s="530" t="str">
        <f t="shared" si="8"/>
        <v>进深比</v>
      </c>
      <c r="R41" s="668" t="s">
        <v>14</v>
      </c>
      <c r="S41" s="669">
        <f t="shared" si="9"/>
        <v>100</v>
      </c>
      <c r="T41" s="668" t="s">
        <v>14</v>
      </c>
      <c r="U41" s="669">
        <f t="shared" si="10"/>
        <v>100</v>
      </c>
      <c r="V41" s="668" t="s">
        <v>14</v>
      </c>
      <c r="W41" s="669">
        <f t="shared" si="11"/>
        <v>100</v>
      </c>
      <c r="X41" s="670"/>
      <c r="Y41" s="3412"/>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10"/>
      <c r="Q42" s="1261" t="str">
        <f t="shared" si="8"/>
        <v>内部装修</v>
      </c>
      <c r="R42" s="666" t="s">
        <v>14</v>
      </c>
      <c r="S42" s="667">
        <f t="shared" si="9"/>
        <v>100</v>
      </c>
      <c r="T42" s="666" t="s">
        <v>14</v>
      </c>
      <c r="U42" s="667">
        <f t="shared" si="10"/>
        <v>100</v>
      </c>
      <c r="V42" s="666" t="s">
        <v>14</v>
      </c>
      <c r="W42" s="667">
        <f t="shared" si="11"/>
        <v>100</v>
      </c>
      <c r="X42" s="1263"/>
      <c r="Y42" s="3412"/>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10"/>
      <c r="Q43" s="1261" t="str">
        <f t="shared" si="8"/>
        <v>内部装修维护情况</v>
      </c>
      <c r="R43" s="666" t="s">
        <v>14</v>
      </c>
      <c r="S43" s="667">
        <f t="shared" si="9"/>
        <v>100</v>
      </c>
      <c r="T43" s="666" t="s">
        <v>14</v>
      </c>
      <c r="U43" s="667">
        <f t="shared" si="10"/>
        <v>100</v>
      </c>
      <c r="V43" s="666" t="s">
        <v>14</v>
      </c>
      <c r="W43" s="667">
        <f t="shared" si="11"/>
        <v>100</v>
      </c>
      <c r="X43" s="1263"/>
      <c r="Y43" s="3412"/>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10"/>
      <c r="Q44" s="529">
        <f t="shared" si="8"/>
        <v>111</v>
      </c>
      <c r="R44" s="663" t="s">
        <v>14</v>
      </c>
      <c r="S44" s="664">
        <f t="shared" si="9"/>
        <v>100</v>
      </c>
      <c r="T44" s="663" t="s">
        <v>14</v>
      </c>
      <c r="U44" s="664">
        <f t="shared" si="10"/>
        <v>100</v>
      </c>
      <c r="V44" s="663" t="s">
        <v>14</v>
      </c>
      <c r="W44" s="664">
        <f t="shared" si="11"/>
        <v>100</v>
      </c>
      <c r="X44" s="665"/>
      <c r="Y44" s="3412"/>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10"/>
      <c r="Q45" s="1261">
        <f t="shared" si="8"/>
        <v>111</v>
      </c>
      <c r="R45" s="666" t="s">
        <v>14</v>
      </c>
      <c r="S45" s="667">
        <f t="shared" si="9"/>
        <v>100</v>
      </c>
      <c r="T45" s="666" t="s">
        <v>14</v>
      </c>
      <c r="U45" s="667">
        <f t="shared" si="10"/>
        <v>100</v>
      </c>
      <c r="V45" s="666" t="s">
        <v>14</v>
      </c>
      <c r="W45" s="667">
        <f t="shared" si="11"/>
        <v>100</v>
      </c>
      <c r="X45" s="1263"/>
      <c r="Y45" s="3412"/>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11"/>
      <c r="Q46" s="1261">
        <f t="shared" si="8"/>
        <v>111</v>
      </c>
      <c r="R46" s="666" t="s">
        <v>14</v>
      </c>
      <c r="S46" s="667">
        <f t="shared" si="9"/>
        <v>100</v>
      </c>
      <c r="T46" s="666" t="s">
        <v>14</v>
      </c>
      <c r="U46" s="667">
        <f t="shared" si="10"/>
        <v>100</v>
      </c>
      <c r="V46" s="666" t="s">
        <v>14</v>
      </c>
      <c r="W46" s="667">
        <f t="shared" si="11"/>
        <v>100</v>
      </c>
      <c r="X46" s="1263"/>
      <c r="Y46" s="3413"/>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5" t="str">
        <f>A47</f>
        <v>成交单价（元/平方米）</v>
      </c>
      <c r="Q47" s="3405"/>
      <c r="R47" s="3406">
        <f>E47</f>
        <v>0</v>
      </c>
      <c r="S47" s="3406"/>
      <c r="T47" s="3406">
        <f>G47</f>
        <v>0</v>
      </c>
      <c r="U47" s="3406"/>
      <c r="V47" s="3406">
        <f>I47</f>
        <v>0</v>
      </c>
      <c r="W47" s="3406"/>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2024-5</v>
      </c>
      <c r="D58" s="1102">
        <f>EDATE(C58,-1)</f>
        <v>45383</v>
      </c>
      <c r="E58" s="1102">
        <f t="shared" ref="E58:N58" si="13">EDATE(D58,-1)</f>
        <v>45352</v>
      </c>
      <c r="F58" s="1102">
        <f t="shared" si="13"/>
        <v>45323</v>
      </c>
      <c r="G58" s="1102">
        <f t="shared" si="13"/>
        <v>45292</v>
      </c>
      <c r="H58" s="1102">
        <f t="shared" si="13"/>
        <v>45261</v>
      </c>
      <c r="I58" s="1102">
        <f t="shared" si="13"/>
        <v>45231</v>
      </c>
      <c r="J58" s="1102">
        <f t="shared" si="13"/>
        <v>45200</v>
      </c>
      <c r="K58" s="1102">
        <f t="shared" si="13"/>
        <v>45170</v>
      </c>
      <c r="L58" s="1102">
        <f t="shared" si="13"/>
        <v>45139</v>
      </c>
      <c r="M58" s="1102">
        <f t="shared" si="13"/>
        <v>45108</v>
      </c>
      <c r="N58" s="1102">
        <f t="shared" si="13"/>
        <v>45078</v>
      </c>
      <c r="O58" s="1102">
        <f>EDATE(N58,-1)</f>
        <v>45047</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81.66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55" t="s">
        <v>1772</v>
      </c>
      <c r="Q4" s="3456"/>
      <c r="R4" s="3459" t="s">
        <v>1768</v>
      </c>
      <c r="S4" s="3460"/>
      <c r="T4" s="3459" t="s">
        <v>1769</v>
      </c>
      <c r="U4" s="3460"/>
      <c r="V4" s="3461" t="s">
        <v>1770</v>
      </c>
      <c r="W4" s="3461"/>
      <c r="X4" s="1804"/>
      <c r="Y4" s="3459" t="s">
        <v>1772</v>
      </c>
      <c r="Z4" s="3460"/>
      <c r="AA4" s="3463" t="s">
        <v>1768</v>
      </c>
      <c r="AB4" s="3463" t="s">
        <v>1769</v>
      </c>
      <c r="AC4" s="3452" t="s">
        <v>1770</v>
      </c>
    </row>
    <row r="5" spans="1:29" ht="15">
      <c r="A5" s="347"/>
      <c r="B5" s="348"/>
      <c r="C5" s="3438" t="s">
        <v>1673</v>
      </c>
      <c r="D5" s="3439"/>
      <c r="E5" s="3448" t="s">
        <v>1674</v>
      </c>
      <c r="F5" s="3447"/>
      <c r="G5" s="3438" t="s">
        <v>1675</v>
      </c>
      <c r="H5" s="3439"/>
      <c r="I5" s="3438" t="s">
        <v>1676</v>
      </c>
      <c r="J5" s="3439"/>
      <c r="K5" s="536"/>
      <c r="L5" s="2481"/>
      <c r="M5" s="2482"/>
      <c r="N5" s="2482"/>
      <c r="O5" s="2482"/>
      <c r="P5" s="3457"/>
      <c r="Q5" s="3427"/>
      <c r="R5" s="3432"/>
      <c r="S5" s="3433"/>
      <c r="T5" s="3432"/>
      <c r="U5" s="3433"/>
      <c r="V5" s="3406"/>
      <c r="W5" s="3406"/>
      <c r="X5" s="1263"/>
      <c r="Y5" s="3432"/>
      <c r="Z5" s="3433"/>
      <c r="AA5" s="3418"/>
      <c r="AB5" s="3418"/>
      <c r="AC5" s="3453"/>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58"/>
      <c r="Q6" s="3429"/>
      <c r="R6" s="3432"/>
      <c r="S6" s="3433"/>
      <c r="T6" s="3434"/>
      <c r="U6" s="3435"/>
      <c r="V6" s="3406"/>
      <c r="W6" s="3406"/>
      <c r="X6" s="1263"/>
      <c r="Y6" s="3434"/>
      <c r="Z6" s="3435"/>
      <c r="AA6" s="3419"/>
      <c r="AB6" s="3419"/>
      <c r="AC6" s="3454"/>
    </row>
    <row r="7" spans="1:29" s="101" customFormat="1" ht="15.75" thickBot="1">
      <c r="A7" s="351" t="s">
        <v>1679</v>
      </c>
      <c r="B7" s="352"/>
      <c r="C7" s="353">
        <f>'数据-取费表'!B2</f>
        <v>45435</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2"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2" t="s">
        <v>1683</v>
      </c>
      <c r="Q8" s="3441"/>
      <c r="R8" s="663" t="s">
        <v>14</v>
      </c>
      <c r="S8" s="664">
        <f t="shared" si="0"/>
        <v>100</v>
      </c>
      <c r="T8" s="663" t="s">
        <v>14</v>
      </c>
      <c r="U8" s="664">
        <f t="shared" si="1"/>
        <v>100</v>
      </c>
      <c r="V8" s="663" t="s">
        <v>14</v>
      </c>
      <c r="W8" s="664">
        <f t="shared" si="2"/>
        <v>100</v>
      </c>
      <c r="X8" s="665"/>
      <c r="Y8" s="3440" t="s">
        <v>1683</v>
      </c>
      <c r="Z8" s="3441"/>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16"/>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6"/>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6"/>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6"/>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6"/>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4" t="s">
        <v>1691</v>
      </c>
      <c r="Q15" s="1261" t="str">
        <f t="shared" si="6"/>
        <v>办公集聚程度</v>
      </c>
      <c r="R15" s="666" t="s">
        <v>14</v>
      </c>
      <c r="S15" s="667">
        <f t="shared" si="0"/>
        <v>100</v>
      </c>
      <c r="T15" s="666" t="s">
        <v>14</v>
      </c>
      <c r="U15" s="667">
        <f t="shared" si="1"/>
        <v>100</v>
      </c>
      <c r="V15" s="666" t="s">
        <v>14</v>
      </c>
      <c r="W15" s="667">
        <f t="shared" si="2"/>
        <v>100</v>
      </c>
      <c r="X15" s="1263"/>
      <c r="Y15" s="3407"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5"/>
      <c r="Q16" s="1261"/>
      <c r="R16" s="666"/>
      <c r="S16" s="667"/>
      <c r="T16" s="666"/>
      <c r="U16" s="667"/>
      <c r="V16" s="666"/>
      <c r="W16" s="667"/>
      <c r="X16" s="1263"/>
      <c r="Y16" s="3408"/>
      <c r="Z16" s="1262"/>
      <c r="AA16" s="1262">
        <v>1</v>
      </c>
      <c r="AB16" s="1262">
        <v>1</v>
      </c>
      <c r="AC16" s="1807">
        <v>1</v>
      </c>
    </row>
    <row r="17" spans="1:29" ht="142.5">
      <c r="A17" s="366"/>
      <c r="B17" s="555" t="s">
        <v>1259</v>
      </c>
      <c r="C17" s="1808" t="str">
        <f>估价对象房地状况!C6</f>
        <v>周边有9路、98路、113路、140路、368路等多条公交线路，地铁1号线与10号线换乘站国贸站，地铁6号线与10号线换乘站呼家楼站，综合评价交通便捷度好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5"/>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5"/>
      <c r="Q18" s="1261"/>
      <c r="R18" s="666"/>
      <c r="S18" s="667"/>
      <c r="T18" s="666"/>
      <c r="U18" s="667"/>
      <c r="V18" s="666"/>
      <c r="W18" s="667"/>
      <c r="X18" s="1263"/>
      <c r="Y18" s="3408"/>
      <c r="Z18" s="1262"/>
      <c r="AA18" s="1262">
        <v>1</v>
      </c>
      <c r="AB18" s="1262">
        <v>1</v>
      </c>
      <c r="AC18" s="1807">
        <v>1</v>
      </c>
    </row>
    <row r="19" spans="1:29" ht="270.75">
      <c r="A19" s="366"/>
      <c r="B19" s="555" t="s">
        <v>1809</v>
      </c>
      <c r="C19" s="1808"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5"/>
      <c r="Q19" s="1261" t="str">
        <f>B19</f>
        <v>公共配套设施</v>
      </c>
      <c r="R19" s="666" t="s">
        <v>14</v>
      </c>
      <c r="S19" s="667">
        <f>F19</f>
        <v>100</v>
      </c>
      <c r="T19" s="666" t="s">
        <v>14</v>
      </c>
      <c r="U19" s="667">
        <f>H19</f>
        <v>100</v>
      </c>
      <c r="V19" s="666" t="s">
        <v>14</v>
      </c>
      <c r="W19" s="667">
        <f>J19</f>
        <v>100</v>
      </c>
      <c r="X19" s="1263"/>
      <c r="Y19" s="3408"/>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5"/>
      <c r="Q20" s="1261"/>
      <c r="R20" s="666"/>
      <c r="S20" s="667"/>
      <c r="T20" s="666"/>
      <c r="U20" s="667"/>
      <c r="V20" s="666"/>
      <c r="W20" s="667"/>
      <c r="X20" s="1263"/>
      <c r="Y20" s="3408"/>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5"/>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5"/>
      <c r="Q22" s="1261"/>
      <c r="R22" s="666"/>
      <c r="S22" s="667"/>
      <c r="T22" s="666"/>
      <c r="U22" s="667"/>
      <c r="V22" s="666"/>
      <c r="W22" s="667"/>
      <c r="X22" s="1263"/>
      <c r="Y22" s="3408"/>
      <c r="Z22" s="1262"/>
      <c r="AA22" s="1262">
        <v>1</v>
      </c>
      <c r="AB22" s="1262">
        <v>1</v>
      </c>
      <c r="AC22" s="1807">
        <v>1</v>
      </c>
    </row>
    <row r="23" spans="1:29" ht="85.5">
      <c r="A23" s="366"/>
      <c r="B23" s="555" t="s">
        <v>1811</v>
      </c>
      <c r="C23" s="1808" t="str">
        <f>估价对象房地状况!C9</f>
        <v>自然环境：团结湖公园等自然景观；
人文环境：当代美术馆等人文场所；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5"/>
      <c r="Q23" s="1261" t="str">
        <f>B23</f>
        <v>环境质量</v>
      </c>
      <c r="R23" s="666" t="s">
        <v>14</v>
      </c>
      <c r="S23" s="667">
        <f>F23</f>
        <v>100</v>
      </c>
      <c r="T23" s="666" t="s">
        <v>14</v>
      </c>
      <c r="U23" s="667">
        <f>H23</f>
        <v>100</v>
      </c>
      <c r="V23" s="666" t="s">
        <v>14</v>
      </c>
      <c r="W23" s="667">
        <f>J23</f>
        <v>100</v>
      </c>
      <c r="X23" s="1263"/>
      <c r="Y23" s="3408"/>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5"/>
      <c r="Q24" s="1261"/>
      <c r="R24" s="666"/>
      <c r="S24" s="667"/>
      <c r="T24" s="666"/>
      <c r="U24" s="667"/>
      <c r="V24" s="666"/>
      <c r="W24" s="667"/>
      <c r="X24" s="1263"/>
      <c r="Y24" s="3408"/>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5"/>
      <c r="Q25" s="1261" t="str">
        <f>B25</f>
        <v>毗邻道路的类型与等级</v>
      </c>
      <c r="R25" s="666" t="s">
        <v>14</v>
      </c>
      <c r="S25" s="667">
        <f>F25</f>
        <v>100</v>
      </c>
      <c r="T25" s="666" t="s">
        <v>14</v>
      </c>
      <c r="U25" s="667">
        <f>H25</f>
        <v>100</v>
      </c>
      <c r="V25" s="666" t="s">
        <v>14</v>
      </c>
      <c r="W25" s="667">
        <f>J25</f>
        <v>100</v>
      </c>
      <c r="X25" s="1263"/>
      <c r="Y25" s="3408"/>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5"/>
      <c r="Q26" s="1261"/>
      <c r="R26" s="666"/>
      <c r="S26" s="667"/>
      <c r="T26" s="666"/>
      <c r="U26" s="667"/>
      <c r="V26" s="666"/>
      <c r="W26" s="667"/>
      <c r="X26" s="1263"/>
      <c r="Y26" s="3408"/>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5"/>
      <c r="Q27" s="1261" t="str">
        <f t="shared" ref="Q27:Q47" si="8">B27</f>
        <v>楼层</v>
      </c>
      <c r="R27" s="666" t="s">
        <v>14</v>
      </c>
      <c r="S27" s="667">
        <f>F27</f>
        <v>100</v>
      </c>
      <c r="T27" s="666" t="s">
        <v>14</v>
      </c>
      <c r="U27" s="667">
        <f>H27</f>
        <v>100</v>
      </c>
      <c r="V27" s="666" t="s">
        <v>14</v>
      </c>
      <c r="W27" s="667">
        <f>J27</f>
        <v>100</v>
      </c>
      <c r="X27" s="1263"/>
      <c r="Y27" s="3408"/>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5"/>
      <c r="Q28" s="529" t="str">
        <f t="shared" si="8"/>
        <v>朝向</v>
      </c>
      <c r="R28" s="663" t="s">
        <v>14</v>
      </c>
      <c r="S28" s="664">
        <f>F28</f>
        <v>100</v>
      </c>
      <c r="T28" s="663" t="s">
        <v>14</v>
      </c>
      <c r="U28" s="664">
        <f>H28</f>
        <v>100</v>
      </c>
      <c r="V28" s="663" t="s">
        <v>14</v>
      </c>
      <c r="W28" s="664">
        <f>J28</f>
        <v>100</v>
      </c>
      <c r="X28" s="665"/>
      <c r="Y28" s="3408"/>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5"/>
      <c r="Q29" s="1261">
        <f t="shared" si="8"/>
        <v>111</v>
      </c>
      <c r="R29" s="666" t="s">
        <v>14</v>
      </c>
      <c r="S29" s="667">
        <f t="shared" ref="S29:S47" si="9">F29</f>
        <v>100</v>
      </c>
      <c r="T29" s="666" t="s">
        <v>14</v>
      </c>
      <c r="U29" s="667">
        <f t="shared" ref="U29:U47" si="10">H29</f>
        <v>100</v>
      </c>
      <c r="V29" s="666" t="s">
        <v>14</v>
      </c>
      <c r="W29" s="667">
        <f t="shared" ref="W29:W47" si="11">J29</f>
        <v>100</v>
      </c>
      <c r="X29" s="1263"/>
      <c r="Y29" s="3408"/>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5"/>
      <c r="Q30" s="1261">
        <f t="shared" si="8"/>
        <v>111</v>
      </c>
      <c r="R30" s="666" t="s">
        <v>14</v>
      </c>
      <c r="S30" s="667">
        <f t="shared" si="9"/>
        <v>100</v>
      </c>
      <c r="T30" s="666" t="s">
        <v>14</v>
      </c>
      <c r="U30" s="667">
        <f t="shared" si="10"/>
        <v>100</v>
      </c>
      <c r="V30" s="666" t="s">
        <v>14</v>
      </c>
      <c r="W30" s="667">
        <f t="shared" si="11"/>
        <v>100</v>
      </c>
      <c r="X30" s="1263"/>
      <c r="Y30" s="3408"/>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5"/>
      <c r="Q31" s="1261">
        <f t="shared" si="8"/>
        <v>111</v>
      </c>
      <c r="R31" s="666" t="s">
        <v>14</v>
      </c>
      <c r="S31" s="667">
        <f t="shared" si="9"/>
        <v>100</v>
      </c>
      <c r="T31" s="666" t="s">
        <v>14</v>
      </c>
      <c r="U31" s="667">
        <f t="shared" si="10"/>
        <v>100</v>
      </c>
      <c r="V31" s="666" t="s">
        <v>14</v>
      </c>
      <c r="W31" s="667">
        <f t="shared" si="11"/>
        <v>100</v>
      </c>
      <c r="X31" s="1263"/>
      <c r="Y31" s="3408"/>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5"/>
      <c r="Q32" s="1261">
        <f t="shared" si="8"/>
        <v>111</v>
      </c>
      <c r="R32" s="666" t="s">
        <v>14</v>
      </c>
      <c r="S32" s="667">
        <f t="shared" si="9"/>
        <v>100</v>
      </c>
      <c r="T32" s="666" t="s">
        <v>14</v>
      </c>
      <c r="U32" s="667">
        <f t="shared" si="10"/>
        <v>100</v>
      </c>
      <c r="V32" s="666" t="s">
        <v>14</v>
      </c>
      <c r="W32" s="667">
        <f t="shared" si="11"/>
        <v>100</v>
      </c>
      <c r="X32" s="1263"/>
      <c r="Y32" s="3408"/>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9" t="s">
        <v>1696</v>
      </c>
      <c r="Q33" s="1261" t="str">
        <f t="shared" si="8"/>
        <v>建筑类型</v>
      </c>
      <c r="R33" s="666" t="s">
        <v>14</v>
      </c>
      <c r="S33" s="667">
        <f t="shared" si="9"/>
        <v>100</v>
      </c>
      <c r="T33" s="666" t="s">
        <v>14</v>
      </c>
      <c r="U33" s="667">
        <f t="shared" si="10"/>
        <v>100</v>
      </c>
      <c r="V33" s="666" t="s">
        <v>14</v>
      </c>
      <c r="W33" s="667">
        <f t="shared" si="11"/>
        <v>100</v>
      </c>
      <c r="X33" s="1263"/>
      <c r="Y33" s="3412"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10"/>
      <c r="Q34" s="530" t="str">
        <f t="shared" si="8"/>
        <v>项目建筑规模</v>
      </c>
      <c r="R34" s="668" t="s">
        <v>14</v>
      </c>
      <c r="S34" s="669" t="e">
        <f t="shared" si="9"/>
        <v>#N/A</v>
      </c>
      <c r="T34" s="668" t="s">
        <v>14</v>
      </c>
      <c r="U34" s="669" t="e">
        <f t="shared" si="10"/>
        <v>#N/A</v>
      </c>
      <c r="V34" s="668" t="s">
        <v>14</v>
      </c>
      <c r="W34" s="669" t="e">
        <f t="shared" si="11"/>
        <v>#N/A</v>
      </c>
      <c r="X34" s="670"/>
      <c r="Y34" s="3412"/>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10"/>
      <c r="Q35" s="1261" t="str">
        <f t="shared" si="8"/>
        <v>建筑结构</v>
      </c>
      <c r="R35" s="666" t="s">
        <v>14</v>
      </c>
      <c r="S35" s="667">
        <f t="shared" si="9"/>
        <v>100</v>
      </c>
      <c r="T35" s="666" t="s">
        <v>14</v>
      </c>
      <c r="U35" s="667">
        <f t="shared" si="10"/>
        <v>100</v>
      </c>
      <c r="V35" s="666" t="s">
        <v>14</v>
      </c>
      <c r="W35" s="667">
        <f t="shared" si="11"/>
        <v>100</v>
      </c>
      <c r="X35" s="1263"/>
      <c r="Y35" s="3412"/>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10"/>
      <c r="Q36" s="1261" t="str">
        <f t="shared" si="8"/>
        <v>公共部分装修</v>
      </c>
      <c r="R36" s="666" t="s">
        <v>14</v>
      </c>
      <c r="S36" s="667">
        <f t="shared" si="9"/>
        <v>100</v>
      </c>
      <c r="T36" s="666" t="s">
        <v>14</v>
      </c>
      <c r="U36" s="667">
        <f t="shared" si="10"/>
        <v>100</v>
      </c>
      <c r="V36" s="666" t="s">
        <v>14</v>
      </c>
      <c r="W36" s="667">
        <f t="shared" si="11"/>
        <v>100</v>
      </c>
      <c r="X36" s="1263"/>
      <c r="Y36" s="3412"/>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10"/>
      <c r="Q37" s="1261" t="str">
        <f t="shared" si="8"/>
        <v>成新度</v>
      </c>
      <c r="R37" s="666" t="s">
        <v>14</v>
      </c>
      <c r="S37" s="667" t="e">
        <f t="shared" si="9"/>
        <v>#N/A</v>
      </c>
      <c r="T37" s="666" t="s">
        <v>14</v>
      </c>
      <c r="U37" s="667" t="e">
        <f t="shared" si="10"/>
        <v>#N/A</v>
      </c>
      <c r="V37" s="666" t="s">
        <v>14</v>
      </c>
      <c r="W37" s="667" t="e">
        <f t="shared" si="11"/>
        <v>#N/A</v>
      </c>
      <c r="X37" s="1263"/>
      <c r="Y37" s="3412"/>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10"/>
      <c r="Q38" s="529" t="str">
        <f t="shared" si="8"/>
        <v>写字楼等级</v>
      </c>
      <c r="R38" s="663" t="s">
        <v>14</v>
      </c>
      <c r="S38" s="664">
        <f t="shared" si="9"/>
        <v>100</v>
      </c>
      <c r="T38" s="663" t="s">
        <v>14</v>
      </c>
      <c r="U38" s="664">
        <f t="shared" si="10"/>
        <v>100</v>
      </c>
      <c r="V38" s="663" t="s">
        <v>14</v>
      </c>
      <c r="W38" s="664">
        <f t="shared" si="11"/>
        <v>100</v>
      </c>
      <c r="X38" s="665"/>
      <c r="Y38" s="3412"/>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10" t="s">
        <v>1696</v>
      </c>
      <c r="Q39" s="1261" t="str">
        <f t="shared" si="8"/>
        <v>物业管理</v>
      </c>
      <c r="R39" s="666" t="s">
        <v>14</v>
      </c>
      <c r="S39" s="667">
        <f t="shared" si="9"/>
        <v>100</v>
      </c>
      <c r="T39" s="666" t="s">
        <v>14</v>
      </c>
      <c r="U39" s="667">
        <f t="shared" si="10"/>
        <v>100</v>
      </c>
      <c r="V39" s="666" t="s">
        <v>14</v>
      </c>
      <c r="W39" s="667">
        <f t="shared" si="11"/>
        <v>100</v>
      </c>
      <c r="X39" s="1263"/>
      <c r="Y39" s="3412"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10"/>
      <c r="Q40" s="1261" t="str">
        <f t="shared" si="8"/>
        <v>市政基础设施</v>
      </c>
      <c r="R40" s="666" t="s">
        <v>14</v>
      </c>
      <c r="S40" s="667">
        <f t="shared" si="9"/>
        <v>100</v>
      </c>
      <c r="T40" s="666" t="s">
        <v>14</v>
      </c>
      <c r="U40" s="667">
        <f t="shared" si="10"/>
        <v>100</v>
      </c>
      <c r="V40" s="666" t="s">
        <v>14</v>
      </c>
      <c r="W40" s="667">
        <f t="shared" si="11"/>
        <v>100</v>
      </c>
      <c r="X40" s="1263"/>
      <c r="Y40" s="3412"/>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10"/>
      <c r="Q41" s="1261" t="str">
        <f t="shared" si="8"/>
        <v>层高</v>
      </c>
      <c r="R41" s="666" t="s">
        <v>14</v>
      </c>
      <c r="S41" s="667">
        <f t="shared" si="9"/>
        <v>100</v>
      </c>
      <c r="T41" s="666" t="s">
        <v>14</v>
      </c>
      <c r="U41" s="667">
        <f t="shared" si="10"/>
        <v>100</v>
      </c>
      <c r="V41" s="666" t="s">
        <v>14</v>
      </c>
      <c r="W41" s="667">
        <f t="shared" si="11"/>
        <v>100</v>
      </c>
      <c r="X41" s="1263"/>
      <c r="Y41" s="3412"/>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10"/>
      <c r="Q42" s="530" t="str">
        <f t="shared" si="8"/>
        <v>单套建筑面积</v>
      </c>
      <c r="R42" s="668" t="s">
        <v>14</v>
      </c>
      <c r="S42" s="669">
        <f t="shared" si="9"/>
        <v>100</v>
      </c>
      <c r="T42" s="668" t="s">
        <v>14</v>
      </c>
      <c r="U42" s="669">
        <f t="shared" si="10"/>
        <v>100</v>
      </c>
      <c r="V42" s="668" t="s">
        <v>14</v>
      </c>
      <c r="W42" s="669">
        <f t="shared" si="11"/>
        <v>100</v>
      </c>
      <c r="X42" s="670"/>
      <c r="Y42" s="3412"/>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10"/>
      <c r="Q43" s="1261" t="str">
        <f t="shared" si="8"/>
        <v>内部装修</v>
      </c>
      <c r="R43" s="666" t="s">
        <v>14</v>
      </c>
      <c r="S43" s="667">
        <f t="shared" si="9"/>
        <v>100</v>
      </c>
      <c r="T43" s="666" t="s">
        <v>14</v>
      </c>
      <c r="U43" s="667">
        <f t="shared" si="10"/>
        <v>100</v>
      </c>
      <c r="V43" s="666" t="s">
        <v>14</v>
      </c>
      <c r="W43" s="667">
        <f t="shared" si="11"/>
        <v>100</v>
      </c>
      <c r="X43" s="1263"/>
      <c r="Y43" s="3412"/>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10"/>
      <c r="Q44" s="1261" t="str">
        <f t="shared" si="8"/>
        <v>内部装修维护情况</v>
      </c>
      <c r="R44" s="666" t="s">
        <v>14</v>
      </c>
      <c r="S44" s="667">
        <f t="shared" si="9"/>
        <v>100</v>
      </c>
      <c r="T44" s="666" t="s">
        <v>14</v>
      </c>
      <c r="U44" s="667">
        <f t="shared" si="10"/>
        <v>100</v>
      </c>
      <c r="V44" s="666" t="s">
        <v>14</v>
      </c>
      <c r="W44" s="667">
        <f t="shared" si="11"/>
        <v>100</v>
      </c>
      <c r="X44" s="1263"/>
      <c r="Y44" s="3412"/>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10"/>
      <c r="Q45" s="529">
        <f t="shared" si="8"/>
        <v>111</v>
      </c>
      <c r="R45" s="663" t="s">
        <v>14</v>
      </c>
      <c r="S45" s="664">
        <f t="shared" si="9"/>
        <v>100</v>
      </c>
      <c r="T45" s="663" t="s">
        <v>14</v>
      </c>
      <c r="U45" s="664">
        <f t="shared" si="10"/>
        <v>100</v>
      </c>
      <c r="V45" s="663" t="s">
        <v>14</v>
      </c>
      <c r="W45" s="664">
        <f t="shared" si="11"/>
        <v>100</v>
      </c>
      <c r="X45" s="665"/>
      <c r="Y45" s="3412"/>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10"/>
      <c r="Q46" s="1261">
        <f t="shared" si="8"/>
        <v>111</v>
      </c>
      <c r="R46" s="666" t="s">
        <v>14</v>
      </c>
      <c r="S46" s="667">
        <f t="shared" si="9"/>
        <v>100</v>
      </c>
      <c r="T46" s="666" t="s">
        <v>14</v>
      </c>
      <c r="U46" s="667">
        <f t="shared" si="10"/>
        <v>100</v>
      </c>
      <c r="V46" s="666" t="s">
        <v>14</v>
      </c>
      <c r="W46" s="667">
        <f t="shared" si="11"/>
        <v>100</v>
      </c>
      <c r="X46" s="1263"/>
      <c r="Y46" s="3412"/>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11"/>
      <c r="Q47" s="1261">
        <f t="shared" si="8"/>
        <v>111</v>
      </c>
      <c r="R47" s="666" t="s">
        <v>14</v>
      </c>
      <c r="S47" s="667">
        <f t="shared" si="9"/>
        <v>100</v>
      </c>
      <c r="T47" s="666" t="s">
        <v>14</v>
      </c>
      <c r="U47" s="667">
        <f t="shared" si="10"/>
        <v>100</v>
      </c>
      <c r="V47" s="666" t="s">
        <v>14</v>
      </c>
      <c r="W47" s="667">
        <f t="shared" si="11"/>
        <v>100</v>
      </c>
      <c r="X47" s="1263"/>
      <c r="Y47" s="3413"/>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6" t="str">
        <f>A48</f>
        <v>成交单价（元/平方米）</v>
      </c>
      <c r="Q48" s="3405"/>
      <c r="R48" s="3406">
        <f>E48</f>
        <v>0</v>
      </c>
      <c r="S48" s="3406"/>
      <c r="T48" s="3406">
        <f>G48</f>
        <v>0</v>
      </c>
      <c r="U48" s="3406"/>
      <c r="V48" s="3406">
        <f>I48</f>
        <v>0</v>
      </c>
      <c r="W48" s="3406"/>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2024-5</v>
      </c>
      <c r="D59" s="1102">
        <f>EDATE(C59,-1)</f>
        <v>45383</v>
      </c>
      <c r="E59" s="1102">
        <f>EDATE(D59,-1)</f>
        <v>45352</v>
      </c>
      <c r="F59" s="1102">
        <f t="shared" ref="F59:O59" si="13">EDATE(E59,-1)</f>
        <v>45323</v>
      </c>
      <c r="G59" s="1102">
        <f t="shared" si="13"/>
        <v>45292</v>
      </c>
      <c r="H59" s="1102">
        <f t="shared" si="13"/>
        <v>45261</v>
      </c>
      <c r="I59" s="1102">
        <f t="shared" si="13"/>
        <v>45231</v>
      </c>
      <c r="J59" s="1102">
        <f t="shared" si="13"/>
        <v>45200</v>
      </c>
      <c r="K59" s="1102">
        <f t="shared" si="13"/>
        <v>45170</v>
      </c>
      <c r="L59" s="1102">
        <f t="shared" si="13"/>
        <v>45139</v>
      </c>
      <c r="M59" s="1102">
        <f t="shared" si="13"/>
        <v>45108</v>
      </c>
      <c r="N59" s="1102">
        <f t="shared" si="13"/>
        <v>45078</v>
      </c>
      <c r="O59" s="1102">
        <f t="shared" si="13"/>
        <v>45047</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81.66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859"/>
      <c r="M4" s="860"/>
      <c r="N4" s="860"/>
      <c r="O4" s="860"/>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859"/>
      <c r="M5" s="860"/>
      <c r="N5" s="860"/>
      <c r="O5" s="860"/>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859"/>
      <c r="M6" s="860"/>
      <c r="N6" s="860"/>
      <c r="O6" s="860"/>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45435</v>
      </c>
      <c r="D7" s="354">
        <v>100</v>
      </c>
      <c r="E7" s="355"/>
      <c r="F7" s="356">
        <f>SUMIF(52:52,YEAR(E7)&amp;"-"&amp;MONTH(E7),53:53)</f>
        <v>0</v>
      </c>
      <c r="G7" s="355"/>
      <c r="H7" s="354">
        <f>SUMIF(52:52,YEAR(G7)&amp;"-"&amp;MONTH(G7),53:53)</f>
        <v>0</v>
      </c>
      <c r="I7" s="355"/>
      <c r="J7" s="354">
        <f>SUMIF(52:52,YEAR(I7)&amp;"-"&amp;MONTH(I7),53:53)</f>
        <v>0</v>
      </c>
      <c r="K7" s="38"/>
      <c r="L7" s="861"/>
      <c r="M7" s="862"/>
      <c r="N7" s="862"/>
      <c r="O7" s="862"/>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40" t="s">
        <v>1683</v>
      </c>
      <c r="Q8" s="3441"/>
      <c r="R8" s="663" t="s">
        <v>14</v>
      </c>
      <c r="S8" s="664">
        <f t="shared" si="0"/>
        <v>100</v>
      </c>
      <c r="T8" s="663" t="s">
        <v>14</v>
      </c>
      <c r="U8" s="664">
        <f t="shared" si="1"/>
        <v>100</v>
      </c>
      <c r="V8" s="663" t="s">
        <v>14</v>
      </c>
      <c r="W8" s="664">
        <f t="shared" si="2"/>
        <v>100</v>
      </c>
      <c r="X8" s="665"/>
      <c r="Y8" s="3440" t="s">
        <v>1683</v>
      </c>
      <c r="Z8" s="3441"/>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5"/>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7" t="s">
        <v>1691</v>
      </c>
      <c r="Q15" s="1261" t="str">
        <f t="shared" si="6"/>
        <v>产业集聚程度</v>
      </c>
      <c r="R15" s="666" t="s">
        <v>14</v>
      </c>
      <c r="S15" s="667">
        <f t="shared" si="0"/>
        <v>100</v>
      </c>
      <c r="T15" s="666" t="s">
        <v>14</v>
      </c>
      <c r="U15" s="667">
        <f t="shared" si="1"/>
        <v>100</v>
      </c>
      <c r="V15" s="666" t="s">
        <v>14</v>
      </c>
      <c r="W15" s="667">
        <f t="shared" si="2"/>
        <v>100</v>
      </c>
      <c r="X15" s="1263"/>
      <c r="Y15" s="3407"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8"/>
      <c r="Q16" s="1261"/>
      <c r="R16" s="666"/>
      <c r="S16" s="667"/>
      <c r="T16" s="666"/>
      <c r="U16" s="667"/>
      <c r="V16" s="666"/>
      <c r="W16" s="667"/>
      <c r="X16" s="1263"/>
      <c r="Y16" s="3408"/>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8"/>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8"/>
      <c r="Q18" s="1261"/>
      <c r="R18" s="666"/>
      <c r="S18" s="667"/>
      <c r="T18" s="666"/>
      <c r="U18" s="667"/>
      <c r="V18" s="666"/>
      <c r="W18" s="667"/>
      <c r="X18" s="1263"/>
      <c r="Y18" s="3408"/>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8"/>
      <c r="Q19" s="1261" t="str">
        <f>B19</f>
        <v>公共配套设施</v>
      </c>
      <c r="R19" s="666" t="s">
        <v>14</v>
      </c>
      <c r="S19" s="667">
        <f>F19</f>
        <v>100</v>
      </c>
      <c r="T19" s="666" t="s">
        <v>14</v>
      </c>
      <c r="U19" s="667">
        <f>H19</f>
        <v>100</v>
      </c>
      <c r="V19" s="666" t="s">
        <v>14</v>
      </c>
      <c r="W19" s="667">
        <f>J19</f>
        <v>100</v>
      </c>
      <c r="X19" s="1263"/>
      <c r="Y19" s="3408"/>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8"/>
      <c r="Q20" s="1261"/>
      <c r="R20" s="666"/>
      <c r="S20" s="667"/>
      <c r="T20" s="666"/>
      <c r="U20" s="667"/>
      <c r="V20" s="666"/>
      <c r="W20" s="667"/>
      <c r="X20" s="1263"/>
      <c r="Y20" s="3408"/>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8"/>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8"/>
      <c r="Q22" s="1261"/>
      <c r="R22" s="666"/>
      <c r="S22" s="667"/>
      <c r="T22" s="666"/>
      <c r="U22" s="667"/>
      <c r="V22" s="666"/>
      <c r="W22" s="667"/>
      <c r="X22" s="1263"/>
      <c r="Y22" s="3408"/>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8"/>
      <c r="Q23" s="1261" t="str">
        <f>B23</f>
        <v>环境质量</v>
      </c>
      <c r="R23" s="666" t="s">
        <v>14</v>
      </c>
      <c r="S23" s="667">
        <f>F23</f>
        <v>100</v>
      </c>
      <c r="T23" s="666" t="s">
        <v>14</v>
      </c>
      <c r="U23" s="667">
        <f>H23</f>
        <v>100</v>
      </c>
      <c r="V23" s="666" t="s">
        <v>14</v>
      </c>
      <c r="W23" s="667">
        <f>J23</f>
        <v>100</v>
      </c>
      <c r="X23" s="1263"/>
      <c r="Y23" s="3408"/>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8"/>
      <c r="Q24" s="1261"/>
      <c r="R24" s="666"/>
      <c r="S24" s="667"/>
      <c r="T24" s="666"/>
      <c r="U24" s="667"/>
      <c r="V24" s="666"/>
      <c r="W24" s="667"/>
      <c r="X24" s="1263"/>
      <c r="Y24" s="3408"/>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8"/>
      <c r="Q25" s="1261">
        <f>B25</f>
        <v>111</v>
      </c>
      <c r="R25" s="666" t="s">
        <v>14</v>
      </c>
      <c r="S25" s="667">
        <f>F25</f>
        <v>100</v>
      </c>
      <c r="T25" s="666" t="s">
        <v>14</v>
      </c>
      <c r="U25" s="667">
        <f>H25</f>
        <v>100</v>
      </c>
      <c r="V25" s="666" t="s">
        <v>14</v>
      </c>
      <c r="W25" s="667">
        <f>J25</f>
        <v>100</v>
      </c>
      <c r="X25" s="1263"/>
      <c r="Y25" s="3408"/>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8"/>
      <c r="Q26" s="1261">
        <f t="shared" ref="Q26:Q40" si="8">B26</f>
        <v>111</v>
      </c>
      <c r="R26" s="666" t="s">
        <v>14</v>
      </c>
      <c r="S26" s="667">
        <f>F26</f>
        <v>100</v>
      </c>
      <c r="T26" s="666" t="s">
        <v>14</v>
      </c>
      <c r="U26" s="667">
        <f>H26</f>
        <v>100</v>
      </c>
      <c r="V26" s="666" t="s">
        <v>14</v>
      </c>
      <c r="W26" s="667">
        <f>J26</f>
        <v>100</v>
      </c>
      <c r="X26" s="1263"/>
      <c r="Y26" s="3408"/>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8"/>
      <c r="Q27" s="529">
        <f t="shared" si="8"/>
        <v>111</v>
      </c>
      <c r="R27" s="663" t="s">
        <v>14</v>
      </c>
      <c r="S27" s="664">
        <f>F27</f>
        <v>100</v>
      </c>
      <c r="T27" s="663" t="s">
        <v>14</v>
      </c>
      <c r="U27" s="664">
        <f>H27</f>
        <v>100</v>
      </c>
      <c r="V27" s="663" t="s">
        <v>14</v>
      </c>
      <c r="W27" s="664">
        <f>J27</f>
        <v>100</v>
      </c>
      <c r="X27" s="665"/>
      <c r="Y27" s="3408"/>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8"/>
      <c r="Q28" s="1261">
        <f t="shared" si="8"/>
        <v>111</v>
      </c>
      <c r="R28" s="666" t="s">
        <v>14</v>
      </c>
      <c r="S28" s="667">
        <f t="shared" ref="S28:S40" si="9">F28</f>
        <v>100</v>
      </c>
      <c r="T28" s="666" t="s">
        <v>14</v>
      </c>
      <c r="U28" s="667">
        <f t="shared" ref="U28:U40" si="10">H28</f>
        <v>100</v>
      </c>
      <c r="V28" s="666" t="s">
        <v>14</v>
      </c>
      <c r="W28" s="667">
        <f t="shared" ref="W28:W40" si="11">J28</f>
        <v>100</v>
      </c>
      <c r="X28" s="1263"/>
      <c r="Y28" s="3408"/>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4" t="s">
        <v>1696</v>
      </c>
      <c r="Q29" s="1261" t="str">
        <f t="shared" si="8"/>
        <v>建筑类型</v>
      </c>
      <c r="R29" s="666" t="s">
        <v>14</v>
      </c>
      <c r="S29" s="667">
        <f t="shared" si="9"/>
        <v>100</v>
      </c>
      <c r="T29" s="666" t="s">
        <v>14</v>
      </c>
      <c r="U29" s="667">
        <f t="shared" si="10"/>
        <v>100</v>
      </c>
      <c r="V29" s="666" t="s">
        <v>14</v>
      </c>
      <c r="W29" s="667">
        <f t="shared" si="11"/>
        <v>100</v>
      </c>
      <c r="X29" s="1263"/>
      <c r="Y29" s="3412"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2"/>
      <c r="Q30" s="530" t="str">
        <f t="shared" si="8"/>
        <v>项目建筑规模</v>
      </c>
      <c r="R30" s="668" t="s">
        <v>14</v>
      </c>
      <c r="S30" s="669" t="e">
        <f t="shared" si="9"/>
        <v>#N/A</v>
      </c>
      <c r="T30" s="668" t="s">
        <v>14</v>
      </c>
      <c r="U30" s="669" t="e">
        <f t="shared" si="10"/>
        <v>#N/A</v>
      </c>
      <c r="V30" s="668" t="s">
        <v>14</v>
      </c>
      <c r="W30" s="669" t="e">
        <f t="shared" si="11"/>
        <v>#N/A</v>
      </c>
      <c r="X30" s="670"/>
      <c r="Y30" s="3412"/>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2"/>
      <c r="Q31" s="1261" t="str">
        <f t="shared" si="8"/>
        <v>建筑结构</v>
      </c>
      <c r="R31" s="666" t="s">
        <v>14</v>
      </c>
      <c r="S31" s="667">
        <f t="shared" si="9"/>
        <v>100</v>
      </c>
      <c r="T31" s="666" t="s">
        <v>14</v>
      </c>
      <c r="U31" s="667">
        <f t="shared" si="10"/>
        <v>100</v>
      </c>
      <c r="V31" s="666" t="s">
        <v>14</v>
      </c>
      <c r="W31" s="667">
        <f t="shared" si="11"/>
        <v>100</v>
      </c>
      <c r="X31" s="1263"/>
      <c r="Y31" s="3412"/>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2"/>
      <c r="Q32" s="1261" t="str">
        <f t="shared" si="8"/>
        <v>公共部分装修</v>
      </c>
      <c r="R32" s="666" t="s">
        <v>14</v>
      </c>
      <c r="S32" s="667">
        <f t="shared" si="9"/>
        <v>100</v>
      </c>
      <c r="T32" s="666" t="s">
        <v>14</v>
      </c>
      <c r="U32" s="667">
        <f t="shared" si="10"/>
        <v>100</v>
      </c>
      <c r="V32" s="666" t="s">
        <v>14</v>
      </c>
      <c r="W32" s="667">
        <f t="shared" si="11"/>
        <v>100</v>
      </c>
      <c r="X32" s="1263"/>
      <c r="Y32" s="3412"/>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2"/>
      <c r="Q33" s="1261" t="str">
        <f t="shared" si="8"/>
        <v>成新度</v>
      </c>
      <c r="R33" s="666" t="s">
        <v>14</v>
      </c>
      <c r="S33" s="667" t="e">
        <f t="shared" si="9"/>
        <v>#N/A</v>
      </c>
      <c r="T33" s="666" t="s">
        <v>14</v>
      </c>
      <c r="U33" s="667" t="e">
        <f t="shared" si="10"/>
        <v>#N/A</v>
      </c>
      <c r="V33" s="666" t="s">
        <v>14</v>
      </c>
      <c r="W33" s="667" t="e">
        <f t="shared" si="11"/>
        <v>#N/A</v>
      </c>
      <c r="X33" s="1263"/>
      <c r="Y33" s="3412"/>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2"/>
      <c r="Q34" s="529" t="str">
        <f t="shared" si="8"/>
        <v>物业管理</v>
      </c>
      <c r="R34" s="663" t="s">
        <v>14</v>
      </c>
      <c r="S34" s="664">
        <f t="shared" si="9"/>
        <v>100</v>
      </c>
      <c r="T34" s="663" t="s">
        <v>14</v>
      </c>
      <c r="U34" s="664">
        <f t="shared" si="10"/>
        <v>100</v>
      </c>
      <c r="V34" s="663" t="s">
        <v>14</v>
      </c>
      <c r="W34" s="664">
        <f t="shared" si="11"/>
        <v>100</v>
      </c>
      <c r="X34" s="665"/>
      <c r="Y34" s="3412"/>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2" t="s">
        <v>1696</v>
      </c>
      <c r="Q35" s="1261" t="str">
        <f t="shared" si="8"/>
        <v>市政基础设施</v>
      </c>
      <c r="R35" s="666" t="s">
        <v>14</v>
      </c>
      <c r="S35" s="667">
        <f t="shared" si="9"/>
        <v>100</v>
      </c>
      <c r="T35" s="666" t="s">
        <v>14</v>
      </c>
      <c r="U35" s="667">
        <f t="shared" si="10"/>
        <v>100</v>
      </c>
      <c r="V35" s="666" t="s">
        <v>14</v>
      </c>
      <c r="W35" s="667">
        <f t="shared" si="11"/>
        <v>100</v>
      </c>
      <c r="X35" s="1263"/>
      <c r="Y35" s="3412"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2"/>
      <c r="Q36" s="1261" t="str">
        <f t="shared" si="8"/>
        <v>内部装修</v>
      </c>
      <c r="R36" s="666" t="s">
        <v>14</v>
      </c>
      <c r="S36" s="667">
        <f t="shared" si="9"/>
        <v>100</v>
      </c>
      <c r="T36" s="666" t="s">
        <v>14</v>
      </c>
      <c r="U36" s="667">
        <f t="shared" si="10"/>
        <v>100</v>
      </c>
      <c r="V36" s="666" t="s">
        <v>14</v>
      </c>
      <c r="W36" s="667">
        <f t="shared" si="11"/>
        <v>100</v>
      </c>
      <c r="X36" s="1263"/>
      <c r="Y36" s="3412"/>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2"/>
      <c r="Q37" s="1261" t="str">
        <f t="shared" si="8"/>
        <v>内部装修状况</v>
      </c>
      <c r="R37" s="666" t="s">
        <v>14</v>
      </c>
      <c r="S37" s="667">
        <f t="shared" si="9"/>
        <v>100</v>
      </c>
      <c r="T37" s="666" t="s">
        <v>14</v>
      </c>
      <c r="U37" s="667">
        <f t="shared" si="10"/>
        <v>100</v>
      </c>
      <c r="V37" s="666" t="s">
        <v>14</v>
      </c>
      <c r="W37" s="667">
        <f t="shared" si="11"/>
        <v>100</v>
      </c>
      <c r="X37" s="1263"/>
      <c r="Y37" s="3412"/>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2"/>
      <c r="Q38" s="530">
        <f t="shared" si="8"/>
        <v>111</v>
      </c>
      <c r="R38" s="668" t="s">
        <v>14</v>
      </c>
      <c r="S38" s="669">
        <f t="shared" si="9"/>
        <v>100</v>
      </c>
      <c r="T38" s="668" t="s">
        <v>14</v>
      </c>
      <c r="U38" s="669">
        <f t="shared" si="10"/>
        <v>100</v>
      </c>
      <c r="V38" s="668" t="s">
        <v>14</v>
      </c>
      <c r="W38" s="669">
        <f t="shared" si="11"/>
        <v>100</v>
      </c>
      <c r="X38" s="670"/>
      <c r="Y38" s="3412"/>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2"/>
      <c r="Q39" s="1261">
        <f t="shared" si="8"/>
        <v>111</v>
      </c>
      <c r="R39" s="666" t="s">
        <v>14</v>
      </c>
      <c r="S39" s="667">
        <f t="shared" si="9"/>
        <v>100</v>
      </c>
      <c r="T39" s="666" t="s">
        <v>14</v>
      </c>
      <c r="U39" s="667">
        <f t="shared" si="10"/>
        <v>100</v>
      </c>
      <c r="V39" s="666" t="s">
        <v>14</v>
      </c>
      <c r="W39" s="667">
        <f t="shared" si="11"/>
        <v>100</v>
      </c>
      <c r="X39" s="1263"/>
      <c r="Y39" s="3412"/>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3"/>
      <c r="Q40" s="1261">
        <f t="shared" si="8"/>
        <v>111</v>
      </c>
      <c r="R40" s="666" t="s">
        <v>14</v>
      </c>
      <c r="S40" s="667">
        <f t="shared" si="9"/>
        <v>100</v>
      </c>
      <c r="T40" s="666" t="s">
        <v>14</v>
      </c>
      <c r="U40" s="667">
        <f t="shared" si="10"/>
        <v>100</v>
      </c>
      <c r="V40" s="666" t="s">
        <v>14</v>
      </c>
      <c r="W40" s="667">
        <f t="shared" si="11"/>
        <v>100</v>
      </c>
      <c r="X40" s="1263"/>
      <c r="Y40" s="3413"/>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5" t="str">
        <f>A41</f>
        <v>成交单价（元/平方米）</v>
      </c>
      <c r="Q41" s="3405"/>
      <c r="R41" s="3406">
        <f>E41</f>
        <v>0</v>
      </c>
      <c r="S41" s="3406"/>
      <c r="T41" s="3406">
        <f>G41</f>
        <v>0</v>
      </c>
      <c r="U41" s="3406"/>
      <c r="V41" s="3406">
        <f>I41</f>
        <v>0</v>
      </c>
      <c r="W41" s="3406"/>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2024-5</v>
      </c>
      <c r="D52" s="1102">
        <f>EDATE(C52,-1)</f>
        <v>45383</v>
      </c>
      <c r="E52" s="1102">
        <f t="shared" ref="E52:O52" si="13">EDATE(D52,-1)</f>
        <v>45352</v>
      </c>
      <c r="F52" s="1102">
        <f t="shared" si="13"/>
        <v>45323</v>
      </c>
      <c r="G52" s="1102">
        <f t="shared" si="13"/>
        <v>45292</v>
      </c>
      <c r="H52" s="1102">
        <f t="shared" si="13"/>
        <v>45261</v>
      </c>
      <c r="I52" s="1102">
        <f t="shared" si="13"/>
        <v>45231</v>
      </c>
      <c r="J52" s="1102">
        <f t="shared" si="13"/>
        <v>45200</v>
      </c>
      <c r="K52" s="1102">
        <f t="shared" si="13"/>
        <v>45170</v>
      </c>
      <c r="L52" s="1102">
        <f t="shared" si="13"/>
        <v>45139</v>
      </c>
      <c r="M52" s="1102">
        <f t="shared" si="13"/>
        <v>45108</v>
      </c>
      <c r="N52" s="1102">
        <f t="shared" si="13"/>
        <v>45078</v>
      </c>
      <c r="O52" s="1102">
        <f t="shared" si="13"/>
        <v>45047</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45435</v>
      </c>
      <c r="D7" s="354">
        <v>100</v>
      </c>
      <c r="E7" s="355"/>
      <c r="F7" s="356">
        <f>SUMIF(48:48,YEAR(E7)&amp;"-"&amp;MONTH(E7),49:49)</f>
        <v>0</v>
      </c>
      <c r="G7" s="355"/>
      <c r="H7" s="354">
        <f>SUMIF(48:48,YEAR(G7)&amp;"-"&amp;MONTH(G7),49:49)</f>
        <v>0</v>
      </c>
      <c r="I7" s="355"/>
      <c r="J7" s="354">
        <f>SUMIF(48:48,YEAR(I7)&amp;"-"&amp;MONTH(I7),49:49)</f>
        <v>0</v>
      </c>
      <c r="K7" s="38"/>
      <c r="L7" s="2483"/>
      <c r="M7" s="2434"/>
      <c r="N7" s="2434"/>
      <c r="O7" s="2434"/>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40" t="s">
        <v>1683</v>
      </c>
      <c r="Q8" s="3441"/>
      <c r="R8" s="663" t="s">
        <v>14</v>
      </c>
      <c r="S8" s="664">
        <f t="shared" si="0"/>
        <v>100</v>
      </c>
      <c r="T8" s="663" t="s">
        <v>14</v>
      </c>
      <c r="U8" s="664">
        <f t="shared" si="1"/>
        <v>100</v>
      </c>
      <c r="V8" s="663" t="s">
        <v>14</v>
      </c>
      <c r="W8" s="664">
        <f t="shared" si="2"/>
        <v>100</v>
      </c>
      <c r="X8" s="665"/>
      <c r="Y8" s="3440" t="s">
        <v>1683</v>
      </c>
      <c r="Z8" s="3441"/>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5"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5"/>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6.75">
      <c r="A14" s="344" t="s">
        <v>1690</v>
      </c>
      <c r="B14" s="553"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7" t="s">
        <v>1691</v>
      </c>
      <c r="Q14" s="1261" t="str">
        <f t="shared" si="6"/>
        <v>交通便捷度</v>
      </c>
      <c r="R14" s="666" t="s">
        <v>14</v>
      </c>
      <c r="S14" s="667">
        <f t="shared" si="0"/>
        <v>100</v>
      </c>
      <c r="T14" s="666" t="s">
        <v>14</v>
      </c>
      <c r="U14" s="667">
        <f t="shared" si="1"/>
        <v>100</v>
      </c>
      <c r="V14" s="666" t="s">
        <v>14</v>
      </c>
      <c r="W14" s="667">
        <f t="shared" si="2"/>
        <v>100</v>
      </c>
      <c r="X14" s="1263"/>
      <c r="Y14" s="3407"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8"/>
      <c r="Q15" s="1261"/>
      <c r="R15" s="666"/>
      <c r="S15" s="667"/>
      <c r="T15" s="666"/>
      <c r="U15" s="667"/>
      <c r="V15" s="666"/>
      <c r="W15" s="667"/>
      <c r="X15" s="1263"/>
      <c r="Y15" s="3408"/>
      <c r="Z15" s="1262"/>
      <c r="AA15" s="1262">
        <v>1</v>
      </c>
      <c r="AB15" s="1262">
        <v>1</v>
      </c>
      <c r="AC15" s="1262">
        <v>1</v>
      </c>
    </row>
    <row r="16" spans="1:29" ht="285">
      <c r="A16" s="347"/>
      <c r="B16" s="555"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8"/>
      <c r="Q16" s="1261" t="str">
        <f>B16</f>
        <v>公共配套设施</v>
      </c>
      <c r="R16" s="666" t="s">
        <v>14</v>
      </c>
      <c r="S16" s="667">
        <f>F16</f>
        <v>100</v>
      </c>
      <c r="T16" s="666" t="s">
        <v>14</v>
      </c>
      <c r="U16" s="667">
        <f>H16</f>
        <v>100</v>
      </c>
      <c r="V16" s="666" t="s">
        <v>14</v>
      </c>
      <c r="W16" s="667">
        <f>J16</f>
        <v>100</v>
      </c>
      <c r="X16" s="1263"/>
      <c r="Y16" s="3408"/>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8"/>
      <c r="Q17" s="1261"/>
      <c r="R17" s="666"/>
      <c r="S17" s="667"/>
      <c r="T17" s="666"/>
      <c r="U17" s="667"/>
      <c r="V17" s="666"/>
      <c r="W17" s="667"/>
      <c r="X17" s="1263"/>
      <c r="Y17" s="3408"/>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8"/>
      <c r="Q18" s="1261" t="str">
        <f>B18</f>
        <v>基础设施水平</v>
      </c>
      <c r="R18" s="666" t="s">
        <v>14</v>
      </c>
      <c r="S18" s="667">
        <f>F18</f>
        <v>100</v>
      </c>
      <c r="T18" s="666" t="s">
        <v>14</v>
      </c>
      <c r="U18" s="667">
        <f>H18</f>
        <v>100</v>
      </c>
      <c r="V18" s="666" t="s">
        <v>14</v>
      </c>
      <c r="W18" s="667">
        <f>J18</f>
        <v>100</v>
      </c>
      <c r="X18" s="1263"/>
      <c r="Y18" s="3408"/>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8"/>
      <c r="Q19" s="1261"/>
      <c r="R19" s="666"/>
      <c r="S19" s="667"/>
      <c r="T19" s="666"/>
      <c r="U19" s="667"/>
      <c r="V19" s="666"/>
      <c r="W19" s="667"/>
      <c r="X19" s="1263"/>
      <c r="Y19" s="3408"/>
      <c r="Z19" s="1262"/>
      <c r="AA19" s="1262">
        <v>1</v>
      </c>
      <c r="AB19" s="1262">
        <v>1</v>
      </c>
      <c r="AC19" s="1262">
        <v>1</v>
      </c>
    </row>
    <row r="20" spans="1:29" ht="114">
      <c r="A20" s="347"/>
      <c r="B20" s="555" t="s">
        <v>1831</v>
      </c>
      <c r="C20" s="1751" t="str">
        <f>IF(B1="工业",估价对象房地状况!G7,估价对象房地状况!C9)</f>
        <v>自然环境：团结湖公园等自然景观；
人文环境：当代美术馆等人文场所；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8"/>
      <c r="Q20" s="1261" t="str">
        <f>B20</f>
        <v>自然及人文环境</v>
      </c>
      <c r="R20" s="666" t="s">
        <v>14</v>
      </c>
      <c r="S20" s="667">
        <f>F20</f>
        <v>100</v>
      </c>
      <c r="T20" s="666" t="s">
        <v>14</v>
      </c>
      <c r="U20" s="667">
        <f>H20</f>
        <v>100</v>
      </c>
      <c r="V20" s="666" t="s">
        <v>14</v>
      </c>
      <c r="W20" s="667">
        <f>J20</f>
        <v>100</v>
      </c>
      <c r="X20" s="1263"/>
      <c r="Y20" s="3408"/>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8"/>
      <c r="Q21" s="1261"/>
      <c r="R21" s="666"/>
      <c r="S21" s="667"/>
      <c r="T21" s="666"/>
      <c r="U21" s="667"/>
      <c r="V21" s="666"/>
      <c r="W21" s="667"/>
      <c r="X21" s="1263"/>
      <c r="Y21" s="3408"/>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8"/>
      <c r="Q22" s="1261" t="str">
        <f>B22</f>
        <v>楼层</v>
      </c>
      <c r="R22" s="666" t="s">
        <v>14</v>
      </c>
      <c r="S22" s="667">
        <f>F22</f>
        <v>100</v>
      </c>
      <c r="T22" s="666" t="s">
        <v>14</v>
      </c>
      <c r="U22" s="667">
        <f>H22</f>
        <v>100</v>
      </c>
      <c r="V22" s="666" t="s">
        <v>14</v>
      </c>
      <c r="W22" s="667">
        <f>J22</f>
        <v>100</v>
      </c>
      <c r="X22" s="1263"/>
      <c r="Y22" s="3408"/>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8"/>
      <c r="Q23" s="1261">
        <f>B23</f>
        <v>111</v>
      </c>
      <c r="R23" s="666" t="s">
        <v>14</v>
      </c>
      <c r="S23" s="667">
        <f>F23</f>
        <v>100</v>
      </c>
      <c r="T23" s="666" t="s">
        <v>14</v>
      </c>
      <c r="U23" s="667">
        <f>H23</f>
        <v>100</v>
      </c>
      <c r="V23" s="666" t="s">
        <v>14</v>
      </c>
      <c r="W23" s="667">
        <f>J23</f>
        <v>100</v>
      </c>
      <c r="X23" s="1263"/>
      <c r="Y23" s="3408"/>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8"/>
      <c r="Q24" s="1261">
        <f t="shared" ref="Q24:Q36" si="8">B24</f>
        <v>111</v>
      </c>
      <c r="R24" s="666" t="s">
        <v>14</v>
      </c>
      <c r="S24" s="667">
        <f>F24</f>
        <v>100</v>
      </c>
      <c r="T24" s="666" t="s">
        <v>14</v>
      </c>
      <c r="U24" s="667">
        <f>H24</f>
        <v>100</v>
      </c>
      <c r="V24" s="666" t="s">
        <v>14</v>
      </c>
      <c r="W24" s="667">
        <f>J24</f>
        <v>100</v>
      </c>
      <c r="X24" s="1263"/>
      <c r="Y24" s="3408"/>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8"/>
      <c r="Q25" s="529">
        <f t="shared" si="8"/>
        <v>111</v>
      </c>
      <c r="R25" s="663" t="s">
        <v>14</v>
      </c>
      <c r="S25" s="664">
        <f>F25</f>
        <v>100</v>
      </c>
      <c r="T25" s="663" t="s">
        <v>14</v>
      </c>
      <c r="U25" s="664">
        <f>H25</f>
        <v>100</v>
      </c>
      <c r="V25" s="663" t="s">
        <v>14</v>
      </c>
      <c r="W25" s="664">
        <f>J25</f>
        <v>100</v>
      </c>
      <c r="X25" s="665"/>
      <c r="Y25" s="3408"/>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12"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2"/>
      <c r="Q27" s="530" t="str">
        <f t="shared" si="8"/>
        <v>项目停车位配比</v>
      </c>
      <c r="R27" s="668" t="s">
        <v>14</v>
      </c>
      <c r="S27" s="669">
        <f t="shared" si="9"/>
        <v>100</v>
      </c>
      <c r="T27" s="668" t="s">
        <v>14</v>
      </c>
      <c r="U27" s="669">
        <f t="shared" si="10"/>
        <v>100</v>
      </c>
      <c r="V27" s="668" t="s">
        <v>14</v>
      </c>
      <c r="W27" s="669">
        <f t="shared" si="11"/>
        <v>100</v>
      </c>
      <c r="X27" s="670"/>
      <c r="Y27" s="3412"/>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2"/>
      <c r="Q28" s="1261" t="str">
        <f t="shared" si="8"/>
        <v>公共部分装修</v>
      </c>
      <c r="R28" s="666" t="s">
        <v>14</v>
      </c>
      <c r="S28" s="667">
        <f t="shared" si="9"/>
        <v>100</v>
      </c>
      <c r="T28" s="666" t="s">
        <v>14</v>
      </c>
      <c r="U28" s="667">
        <f t="shared" si="10"/>
        <v>100</v>
      </c>
      <c r="V28" s="666" t="s">
        <v>14</v>
      </c>
      <c r="W28" s="667">
        <f t="shared" si="11"/>
        <v>100</v>
      </c>
      <c r="X28" s="1263"/>
      <c r="Y28" s="3412"/>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2"/>
      <c r="Q29" s="1261" t="str">
        <f t="shared" si="8"/>
        <v>成新率</v>
      </c>
      <c r="R29" s="666" t="s">
        <v>14</v>
      </c>
      <c r="S29" s="667" t="e">
        <f t="shared" si="9"/>
        <v>#N/A</v>
      </c>
      <c r="T29" s="666" t="s">
        <v>14</v>
      </c>
      <c r="U29" s="667" t="e">
        <f t="shared" si="10"/>
        <v>#N/A</v>
      </c>
      <c r="V29" s="666" t="s">
        <v>14</v>
      </c>
      <c r="W29" s="667" t="e">
        <f t="shared" si="11"/>
        <v>#N/A</v>
      </c>
      <c r="X29" s="1263"/>
      <c r="Y29" s="3412"/>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2"/>
      <c r="Q30" s="1261" t="str">
        <f t="shared" si="8"/>
        <v>物业等级</v>
      </c>
      <c r="R30" s="666" t="s">
        <v>14</v>
      </c>
      <c r="S30" s="667">
        <f t="shared" si="9"/>
        <v>100</v>
      </c>
      <c r="T30" s="666" t="s">
        <v>14</v>
      </c>
      <c r="U30" s="667">
        <f t="shared" si="10"/>
        <v>100</v>
      </c>
      <c r="V30" s="666" t="s">
        <v>14</v>
      </c>
      <c r="W30" s="667">
        <f t="shared" si="11"/>
        <v>100</v>
      </c>
      <c r="X30" s="1263"/>
      <c r="Y30" s="3412"/>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12"/>
      <c r="Q31" s="529" t="str">
        <f t="shared" si="8"/>
        <v>停车位面积</v>
      </c>
      <c r="R31" s="663" t="s">
        <v>14</v>
      </c>
      <c r="S31" s="664" t="e">
        <f t="shared" si="9"/>
        <v>#N/A</v>
      </c>
      <c r="T31" s="663" t="s">
        <v>14</v>
      </c>
      <c r="U31" s="664" t="e">
        <f t="shared" si="10"/>
        <v>#N/A</v>
      </c>
      <c r="V31" s="663" t="s">
        <v>14</v>
      </c>
      <c r="W31" s="664" t="e">
        <f t="shared" si="11"/>
        <v>#N/A</v>
      </c>
      <c r="X31" s="665"/>
      <c r="Y31" s="3412"/>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2" t="s">
        <v>1696</v>
      </c>
      <c r="Q32" s="1261" t="str">
        <f t="shared" si="8"/>
        <v>车位类型</v>
      </c>
      <c r="R32" s="666" t="s">
        <v>14</v>
      </c>
      <c r="S32" s="667">
        <f t="shared" si="9"/>
        <v>100</v>
      </c>
      <c r="T32" s="666" t="s">
        <v>14</v>
      </c>
      <c r="U32" s="667">
        <f t="shared" si="10"/>
        <v>100</v>
      </c>
      <c r="V32" s="666" t="s">
        <v>14</v>
      </c>
      <c r="W32" s="667">
        <f t="shared" si="11"/>
        <v>100</v>
      </c>
      <c r="X32" s="1263"/>
      <c r="Y32" s="3412"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2"/>
      <c r="Q33" s="1261" t="str">
        <f t="shared" si="8"/>
        <v>是否直接入户</v>
      </c>
      <c r="R33" s="666" t="s">
        <v>14</v>
      </c>
      <c r="S33" s="667">
        <f t="shared" si="9"/>
        <v>100</v>
      </c>
      <c r="T33" s="666" t="s">
        <v>14</v>
      </c>
      <c r="U33" s="667">
        <f t="shared" si="10"/>
        <v>100</v>
      </c>
      <c r="V33" s="666" t="s">
        <v>14</v>
      </c>
      <c r="W33" s="667">
        <f t="shared" si="11"/>
        <v>100</v>
      </c>
      <c r="X33" s="1263"/>
      <c r="Y33" s="3412"/>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2"/>
      <c r="Q34" s="1261">
        <f t="shared" si="8"/>
        <v>111</v>
      </c>
      <c r="R34" s="666" t="s">
        <v>14</v>
      </c>
      <c r="S34" s="667">
        <f t="shared" si="9"/>
        <v>100</v>
      </c>
      <c r="T34" s="666" t="s">
        <v>14</v>
      </c>
      <c r="U34" s="667">
        <f t="shared" si="10"/>
        <v>100</v>
      </c>
      <c r="V34" s="666" t="s">
        <v>14</v>
      </c>
      <c r="W34" s="667">
        <f t="shared" si="11"/>
        <v>100</v>
      </c>
      <c r="X34" s="1263"/>
      <c r="Y34" s="3412"/>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2"/>
      <c r="Q35" s="530">
        <f t="shared" si="8"/>
        <v>111</v>
      </c>
      <c r="R35" s="668" t="s">
        <v>14</v>
      </c>
      <c r="S35" s="669">
        <f t="shared" si="9"/>
        <v>100</v>
      </c>
      <c r="T35" s="668" t="s">
        <v>14</v>
      </c>
      <c r="U35" s="669">
        <f t="shared" si="10"/>
        <v>100</v>
      </c>
      <c r="V35" s="668" t="s">
        <v>14</v>
      </c>
      <c r="W35" s="669">
        <f t="shared" si="11"/>
        <v>100</v>
      </c>
      <c r="X35" s="670"/>
      <c r="Y35" s="3412"/>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2"/>
      <c r="Q36" s="1261">
        <f t="shared" si="8"/>
        <v>111</v>
      </c>
      <c r="R36" s="666" t="s">
        <v>14</v>
      </c>
      <c r="S36" s="667">
        <f t="shared" si="9"/>
        <v>100</v>
      </c>
      <c r="T36" s="666" t="s">
        <v>14</v>
      </c>
      <c r="U36" s="667">
        <f t="shared" si="10"/>
        <v>100</v>
      </c>
      <c r="V36" s="666" t="s">
        <v>14</v>
      </c>
      <c r="W36" s="667">
        <f t="shared" si="11"/>
        <v>100</v>
      </c>
      <c r="X36" s="1263"/>
      <c r="Y36" s="3412"/>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5" t="str">
        <f>A37</f>
        <v>成交单价</v>
      </c>
      <c r="Q37" s="3405"/>
      <c r="R37" s="3406">
        <f>E37</f>
        <v>0</v>
      </c>
      <c r="S37" s="3406"/>
      <c r="T37" s="3406">
        <f>G37</f>
        <v>0</v>
      </c>
      <c r="U37" s="3406"/>
      <c r="V37" s="3406">
        <f>I37</f>
        <v>0</v>
      </c>
      <c r="W37" s="3406"/>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02" t="str">
        <f>A39</f>
        <v>估价对象XX用房的比较价值（楼面单价，元/平方米）</v>
      </c>
      <c r="Q39" s="3403"/>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2024-5</v>
      </c>
      <c r="D48" s="1102">
        <f>EDATE(C48,-1)</f>
        <v>45383</v>
      </c>
      <c r="E48" s="1102">
        <f t="shared" ref="E48:O48" si="13">EDATE(D48,-1)</f>
        <v>45352</v>
      </c>
      <c r="F48" s="1102">
        <f t="shared" si="13"/>
        <v>45323</v>
      </c>
      <c r="G48" s="1102">
        <f t="shared" si="13"/>
        <v>45292</v>
      </c>
      <c r="H48" s="1102">
        <f t="shared" si="13"/>
        <v>45261</v>
      </c>
      <c r="I48" s="1102">
        <f t="shared" si="13"/>
        <v>45231</v>
      </c>
      <c r="J48" s="1102">
        <f t="shared" si="13"/>
        <v>45200</v>
      </c>
      <c r="K48" s="1102">
        <f t="shared" si="13"/>
        <v>45170</v>
      </c>
      <c r="L48" s="1102">
        <f t="shared" si="13"/>
        <v>45139</v>
      </c>
      <c r="M48" s="1102">
        <f t="shared" si="13"/>
        <v>45108</v>
      </c>
      <c r="N48" s="1102">
        <f t="shared" si="13"/>
        <v>45078</v>
      </c>
      <c r="O48" s="1102">
        <f t="shared" si="13"/>
        <v>45047</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2024年5月23日（评估专业人员实地查勘之日）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45435</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40" t="s">
        <v>1683</v>
      </c>
      <c r="Q8" s="3441"/>
      <c r="R8" s="663" t="s">
        <v>14</v>
      </c>
      <c r="S8" s="664">
        <f t="shared" si="0"/>
        <v>100</v>
      </c>
      <c r="T8" s="663" t="s">
        <v>14</v>
      </c>
      <c r="U8" s="664">
        <f t="shared" si="1"/>
        <v>100</v>
      </c>
      <c r="V8" s="663" t="s">
        <v>14</v>
      </c>
      <c r="W8" s="664">
        <f t="shared" si="2"/>
        <v>100</v>
      </c>
      <c r="X8" s="665"/>
      <c r="Y8" s="3440" t="s">
        <v>1683</v>
      </c>
      <c r="Z8" s="3441"/>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5"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5"/>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6.75">
      <c r="A14" s="378" t="s">
        <v>1690</v>
      </c>
      <c r="B14" s="58"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7" t="s">
        <v>1691</v>
      </c>
      <c r="Q14" s="1261" t="str">
        <f t="shared" si="6"/>
        <v>交通便捷度</v>
      </c>
      <c r="R14" s="666" t="s">
        <v>14</v>
      </c>
      <c r="S14" s="667">
        <f t="shared" si="0"/>
        <v>100</v>
      </c>
      <c r="T14" s="666" t="s">
        <v>14</v>
      </c>
      <c r="U14" s="667">
        <f t="shared" si="1"/>
        <v>100</v>
      </c>
      <c r="V14" s="666" t="s">
        <v>14</v>
      </c>
      <c r="W14" s="667">
        <f t="shared" si="2"/>
        <v>100</v>
      </c>
      <c r="X14" s="1263"/>
      <c r="Y14" s="3407"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8"/>
      <c r="Q15" s="1261"/>
      <c r="R15" s="666"/>
      <c r="S15" s="667"/>
      <c r="T15" s="666"/>
      <c r="U15" s="667"/>
      <c r="V15" s="666"/>
      <c r="W15" s="667"/>
      <c r="X15" s="1263"/>
      <c r="Y15" s="3408"/>
      <c r="Z15" s="1262"/>
      <c r="AA15" s="1262">
        <v>1</v>
      </c>
      <c r="AB15" s="1262">
        <v>1</v>
      </c>
      <c r="AC15" s="1262">
        <v>1</v>
      </c>
    </row>
    <row r="16" spans="1:29" ht="285">
      <c r="A16" s="366"/>
      <c r="B16" s="389"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8"/>
      <c r="Q16" s="1261" t="str">
        <f>B16</f>
        <v>公共配套设施</v>
      </c>
      <c r="R16" s="666" t="s">
        <v>14</v>
      </c>
      <c r="S16" s="667">
        <f>F16</f>
        <v>100</v>
      </c>
      <c r="T16" s="666" t="s">
        <v>14</v>
      </c>
      <c r="U16" s="667">
        <f>H16</f>
        <v>100</v>
      </c>
      <c r="V16" s="666" t="s">
        <v>14</v>
      </c>
      <c r="W16" s="667">
        <f>J16</f>
        <v>100</v>
      </c>
      <c r="X16" s="1263"/>
      <c r="Y16" s="3408"/>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8"/>
      <c r="Q17" s="1261"/>
      <c r="R17" s="666"/>
      <c r="S17" s="667"/>
      <c r="T17" s="666"/>
      <c r="U17" s="667"/>
      <c r="V17" s="666"/>
      <c r="W17" s="667"/>
      <c r="X17" s="1263"/>
      <c r="Y17" s="3408"/>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8"/>
      <c r="Q18" s="1261" t="str">
        <f>B18</f>
        <v>基础设施水平</v>
      </c>
      <c r="R18" s="666" t="s">
        <v>14</v>
      </c>
      <c r="S18" s="667">
        <f>F18</f>
        <v>100</v>
      </c>
      <c r="T18" s="666" t="s">
        <v>14</v>
      </c>
      <c r="U18" s="667">
        <f>H18</f>
        <v>100</v>
      </c>
      <c r="V18" s="666" t="s">
        <v>14</v>
      </c>
      <c r="W18" s="667">
        <f>J18</f>
        <v>100</v>
      </c>
      <c r="X18" s="1263"/>
      <c r="Y18" s="3408"/>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8"/>
      <c r="Q19" s="1261"/>
      <c r="R19" s="666"/>
      <c r="S19" s="667"/>
      <c r="T19" s="666"/>
      <c r="U19" s="667"/>
      <c r="V19" s="666"/>
      <c r="W19" s="667"/>
      <c r="X19" s="1263"/>
      <c r="Y19" s="3408"/>
      <c r="Z19" s="1262"/>
      <c r="AA19" s="1262">
        <v>1</v>
      </c>
      <c r="AB19" s="1262">
        <v>1</v>
      </c>
      <c r="AC19" s="1262">
        <v>1</v>
      </c>
    </row>
    <row r="20" spans="1:29" ht="114">
      <c r="A20" s="366"/>
      <c r="B20" s="389" t="s">
        <v>1831</v>
      </c>
      <c r="C20" s="1751" t="str">
        <f>IF(B1="工业",估价对象房地状况!G7,估价对象房地状况!C9)</f>
        <v>自然环境：团结湖公园等自然景观；
人文环境：当代美术馆等人文场所；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8"/>
      <c r="Q20" s="1261" t="str">
        <f>B20</f>
        <v>自然及人文环境</v>
      </c>
      <c r="R20" s="666" t="s">
        <v>14</v>
      </c>
      <c r="S20" s="667">
        <f>F20</f>
        <v>100</v>
      </c>
      <c r="T20" s="666" t="s">
        <v>14</v>
      </c>
      <c r="U20" s="667">
        <f>H20</f>
        <v>100</v>
      </c>
      <c r="V20" s="666" t="s">
        <v>14</v>
      </c>
      <c r="W20" s="667">
        <f>J20</f>
        <v>100</v>
      </c>
      <c r="X20" s="1263"/>
      <c r="Y20" s="3408"/>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8"/>
      <c r="Q21" s="1261"/>
      <c r="R21" s="666"/>
      <c r="S21" s="667"/>
      <c r="T21" s="666"/>
      <c r="U21" s="667"/>
      <c r="V21" s="666"/>
      <c r="W21" s="667"/>
      <c r="X21" s="1263"/>
      <c r="Y21" s="3408"/>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8"/>
      <c r="Q22" s="1261" t="str">
        <f>B22</f>
        <v>楼层</v>
      </c>
      <c r="R22" s="666" t="s">
        <v>14</v>
      </c>
      <c r="S22" s="667">
        <f>F22</f>
        <v>100</v>
      </c>
      <c r="T22" s="666" t="s">
        <v>14</v>
      </c>
      <c r="U22" s="667">
        <f>H22</f>
        <v>100</v>
      </c>
      <c r="V22" s="666" t="s">
        <v>14</v>
      </c>
      <c r="W22" s="667">
        <f>J22</f>
        <v>100</v>
      </c>
      <c r="X22" s="1263"/>
      <c r="Y22" s="3408"/>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8"/>
      <c r="Q23" s="1261">
        <f>B23</f>
        <v>111</v>
      </c>
      <c r="R23" s="666" t="s">
        <v>14</v>
      </c>
      <c r="S23" s="667">
        <f>F23</f>
        <v>100</v>
      </c>
      <c r="T23" s="666" t="s">
        <v>14</v>
      </c>
      <c r="U23" s="667">
        <f>H23</f>
        <v>100</v>
      </c>
      <c r="V23" s="666" t="s">
        <v>14</v>
      </c>
      <c r="W23" s="667">
        <f>J23</f>
        <v>100</v>
      </c>
      <c r="X23" s="1263"/>
      <c r="Y23" s="3408"/>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8"/>
      <c r="Q24" s="1261">
        <f t="shared" ref="Q24:Q34" si="8">B24</f>
        <v>111</v>
      </c>
      <c r="R24" s="666" t="s">
        <v>14</v>
      </c>
      <c r="S24" s="667">
        <f>F24</f>
        <v>100</v>
      </c>
      <c r="T24" s="666" t="s">
        <v>14</v>
      </c>
      <c r="U24" s="667">
        <f>H24</f>
        <v>100</v>
      </c>
      <c r="V24" s="666" t="s">
        <v>14</v>
      </c>
      <c r="W24" s="667">
        <f>J24</f>
        <v>100</v>
      </c>
      <c r="X24" s="1263"/>
      <c r="Y24" s="3408"/>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8"/>
      <c r="Q25" s="529">
        <f t="shared" si="8"/>
        <v>111</v>
      </c>
      <c r="R25" s="663" t="s">
        <v>14</v>
      </c>
      <c r="S25" s="664">
        <f>F25</f>
        <v>100</v>
      </c>
      <c r="T25" s="663" t="s">
        <v>14</v>
      </c>
      <c r="U25" s="664">
        <f>H25</f>
        <v>100</v>
      </c>
      <c r="V25" s="663" t="s">
        <v>14</v>
      </c>
      <c r="W25" s="664">
        <f>J25</f>
        <v>100</v>
      </c>
      <c r="X25" s="665"/>
      <c r="Y25" s="3408"/>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12"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2"/>
      <c r="Q27" s="530" t="str">
        <f t="shared" si="8"/>
        <v>成新率</v>
      </c>
      <c r="R27" s="668" t="s">
        <v>14</v>
      </c>
      <c r="S27" s="669" t="e">
        <f t="shared" si="9"/>
        <v>#N/A</v>
      </c>
      <c r="T27" s="668" t="s">
        <v>14</v>
      </c>
      <c r="U27" s="669" t="e">
        <f t="shared" si="10"/>
        <v>#N/A</v>
      </c>
      <c r="V27" s="668" t="s">
        <v>14</v>
      </c>
      <c r="W27" s="669" t="e">
        <f t="shared" si="11"/>
        <v>#N/A</v>
      </c>
      <c r="X27" s="670"/>
      <c r="Y27" s="3412"/>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2"/>
      <c r="Q28" s="1261" t="str">
        <f t="shared" si="8"/>
        <v>物业等级</v>
      </c>
      <c r="R28" s="666" t="s">
        <v>14</v>
      </c>
      <c r="S28" s="667">
        <f t="shared" si="9"/>
        <v>100</v>
      </c>
      <c r="T28" s="666" t="s">
        <v>14</v>
      </c>
      <c r="U28" s="667">
        <f t="shared" si="10"/>
        <v>100</v>
      </c>
      <c r="V28" s="666" t="s">
        <v>14</v>
      </c>
      <c r="W28" s="667">
        <f t="shared" si="11"/>
        <v>100</v>
      </c>
      <c r="X28" s="1263"/>
      <c r="Y28" s="3412"/>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2"/>
      <c r="Q29" s="1261" t="str">
        <f t="shared" si="8"/>
        <v>有无电梯</v>
      </c>
      <c r="R29" s="666" t="s">
        <v>14</v>
      </c>
      <c r="S29" s="667">
        <f t="shared" si="9"/>
        <v>100</v>
      </c>
      <c r="T29" s="666" t="s">
        <v>14</v>
      </c>
      <c r="U29" s="667">
        <f t="shared" si="10"/>
        <v>100</v>
      </c>
      <c r="V29" s="666" t="s">
        <v>14</v>
      </c>
      <c r="W29" s="667">
        <f t="shared" si="11"/>
        <v>100</v>
      </c>
      <c r="X29" s="1263"/>
      <c r="Y29" s="3412"/>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2"/>
      <c r="Q30" s="1261" t="str">
        <f t="shared" si="8"/>
        <v>建筑面积</v>
      </c>
      <c r="R30" s="666" t="s">
        <v>14</v>
      </c>
      <c r="S30" s="667" t="e">
        <f t="shared" si="9"/>
        <v>#N/A</v>
      </c>
      <c r="T30" s="666" t="s">
        <v>14</v>
      </c>
      <c r="U30" s="667" t="e">
        <f t="shared" si="10"/>
        <v>#N/A</v>
      </c>
      <c r="V30" s="666" t="s">
        <v>14</v>
      </c>
      <c r="W30" s="667" t="e">
        <f t="shared" si="11"/>
        <v>#N/A</v>
      </c>
      <c r="X30" s="1263"/>
      <c r="Y30" s="3412"/>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12"/>
      <c r="Q31" s="529" t="str">
        <f t="shared" si="8"/>
        <v>是否封闭</v>
      </c>
      <c r="R31" s="663" t="s">
        <v>14</v>
      </c>
      <c r="S31" s="664">
        <f t="shared" si="9"/>
        <v>100</v>
      </c>
      <c r="T31" s="663" t="s">
        <v>14</v>
      </c>
      <c r="U31" s="664">
        <f t="shared" si="10"/>
        <v>100</v>
      </c>
      <c r="V31" s="663" t="s">
        <v>14</v>
      </c>
      <c r="W31" s="664">
        <f t="shared" si="11"/>
        <v>100</v>
      </c>
      <c r="X31" s="665"/>
      <c r="Y31" s="3412"/>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2" t="s">
        <v>1696</v>
      </c>
      <c r="Q32" s="1261">
        <f t="shared" si="8"/>
        <v>111</v>
      </c>
      <c r="R32" s="666" t="s">
        <v>14</v>
      </c>
      <c r="S32" s="667">
        <f t="shared" si="9"/>
        <v>100</v>
      </c>
      <c r="T32" s="666" t="s">
        <v>14</v>
      </c>
      <c r="U32" s="667">
        <f t="shared" si="10"/>
        <v>100</v>
      </c>
      <c r="V32" s="666" t="s">
        <v>14</v>
      </c>
      <c r="W32" s="667">
        <f t="shared" si="11"/>
        <v>100</v>
      </c>
      <c r="X32" s="1263"/>
      <c r="Y32" s="3412"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2"/>
      <c r="Q33" s="1261">
        <f t="shared" si="8"/>
        <v>111</v>
      </c>
      <c r="R33" s="666" t="s">
        <v>14</v>
      </c>
      <c r="S33" s="667">
        <f t="shared" si="9"/>
        <v>100</v>
      </c>
      <c r="T33" s="666" t="s">
        <v>14</v>
      </c>
      <c r="U33" s="667">
        <f t="shared" si="10"/>
        <v>100</v>
      </c>
      <c r="V33" s="666" t="s">
        <v>14</v>
      </c>
      <c r="W33" s="667">
        <f t="shared" si="11"/>
        <v>100</v>
      </c>
      <c r="X33" s="1263"/>
      <c r="Y33" s="3412"/>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12"/>
      <c r="Q34" s="1261">
        <f t="shared" si="8"/>
        <v>111</v>
      </c>
      <c r="R34" s="666" t="s">
        <v>14</v>
      </c>
      <c r="S34" s="667">
        <f t="shared" si="9"/>
        <v>100</v>
      </c>
      <c r="T34" s="666" t="s">
        <v>14</v>
      </c>
      <c r="U34" s="667">
        <f t="shared" si="10"/>
        <v>100</v>
      </c>
      <c r="V34" s="666" t="s">
        <v>14</v>
      </c>
      <c r="W34" s="667">
        <f t="shared" si="11"/>
        <v>100</v>
      </c>
      <c r="X34" s="1263"/>
      <c r="Y34" s="3412"/>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5" t="str">
        <f>A35</f>
        <v>成交单价（元/平方米）</v>
      </c>
      <c r="Q35" s="3405"/>
      <c r="R35" s="3406">
        <f>E35</f>
        <v>0</v>
      </c>
      <c r="S35" s="3406"/>
      <c r="T35" s="3406">
        <f>G35</f>
        <v>0</v>
      </c>
      <c r="U35" s="3406"/>
      <c r="V35" s="3406">
        <f>I35</f>
        <v>0</v>
      </c>
      <c r="W35" s="3406"/>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02" t="str">
        <f>A37</f>
        <v>估价对象XX用房的比较价值（楼面单价，元/平方米）</v>
      </c>
      <c r="Q37" s="3403"/>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2024-5</v>
      </c>
      <c r="D46" s="1102">
        <f>EDATE(C46,-1)</f>
        <v>45383</v>
      </c>
      <c r="E46" s="1102">
        <f t="shared" ref="E46:O46" si="13">EDATE(D46,-1)</f>
        <v>45352</v>
      </c>
      <c r="F46" s="1102">
        <f t="shared" si="13"/>
        <v>45323</v>
      </c>
      <c r="G46" s="1102">
        <f t="shared" si="13"/>
        <v>45292</v>
      </c>
      <c r="H46" s="1102">
        <f t="shared" si="13"/>
        <v>45261</v>
      </c>
      <c r="I46" s="1102">
        <f t="shared" si="13"/>
        <v>45231</v>
      </c>
      <c r="J46" s="1102">
        <f t="shared" si="13"/>
        <v>45200</v>
      </c>
      <c r="K46" s="1102">
        <f t="shared" si="13"/>
        <v>45170</v>
      </c>
      <c r="L46" s="1102">
        <f t="shared" si="13"/>
        <v>45139</v>
      </c>
      <c r="M46" s="1102">
        <f t="shared" si="13"/>
        <v>45108</v>
      </c>
      <c r="N46" s="1102">
        <f t="shared" si="13"/>
        <v>45078</v>
      </c>
      <c r="O46" s="1102">
        <f t="shared" si="13"/>
        <v>45047</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45435</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40" t="s">
        <v>1683</v>
      </c>
      <c r="Q8" s="3441"/>
      <c r="R8" s="663" t="s">
        <v>14</v>
      </c>
      <c r="S8" s="664">
        <f t="shared" si="0"/>
        <v>0</v>
      </c>
      <c r="T8" s="663" t="s">
        <v>14</v>
      </c>
      <c r="U8" s="664">
        <f t="shared" si="1"/>
        <v>0</v>
      </c>
      <c r="V8" s="663" t="s">
        <v>14</v>
      </c>
      <c r="W8" s="664">
        <f t="shared" si="2"/>
        <v>0</v>
      </c>
      <c r="X8" s="665"/>
      <c r="Y8" s="3440" t="s">
        <v>1683</v>
      </c>
      <c r="Z8" s="3441"/>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112</v>
      </c>
      <c r="G10" s="401"/>
      <c r="H10" s="118">
        <f>ROUND(100/'数据-取费表'!G16,0)</f>
        <v>112</v>
      </c>
      <c r="I10" s="401"/>
      <c r="J10" s="118">
        <f>ROUND(100/'数据-取费表'!G16,0)</f>
        <v>112</v>
      </c>
      <c r="K10" s="591"/>
      <c r="L10" s="2484"/>
      <c r="M10" s="2485"/>
      <c r="N10" s="2485"/>
      <c r="O10" s="2536"/>
      <c r="P10" s="3405"/>
      <c r="Q10" s="529" t="str">
        <f t="shared" si="6"/>
        <v>土地使用年限（年）</v>
      </c>
      <c r="R10" s="663" t="s">
        <v>14</v>
      </c>
      <c r="S10" s="664">
        <f t="shared" si="0"/>
        <v>112</v>
      </c>
      <c r="T10" s="663" t="s">
        <v>14</v>
      </c>
      <c r="U10" s="664">
        <f t="shared" si="1"/>
        <v>112</v>
      </c>
      <c r="V10" s="663" t="s">
        <v>14</v>
      </c>
      <c r="W10" s="664">
        <f t="shared" si="2"/>
        <v>112</v>
      </c>
      <c r="X10" s="665"/>
      <c r="Y10" s="3280"/>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5"/>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5"/>
      <c r="Q12" s="529" t="str">
        <f t="shared" si="6"/>
        <v>配建</v>
      </c>
      <c r="R12" s="663" t="s">
        <v>14</v>
      </c>
      <c r="S12" s="664">
        <f t="shared" si="0"/>
        <v>100</v>
      </c>
      <c r="T12" s="663" t="s">
        <v>14</v>
      </c>
      <c r="U12" s="664">
        <f t="shared" si="1"/>
        <v>100</v>
      </c>
      <c r="V12" s="663" t="s">
        <v>14</v>
      </c>
      <c r="W12" s="664">
        <f t="shared" si="2"/>
        <v>100</v>
      </c>
      <c r="X12" s="665"/>
      <c r="Y12" s="328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5"/>
      <c r="Q14" s="529">
        <f t="shared" si="6"/>
        <v>111</v>
      </c>
      <c r="R14" s="663" t="s">
        <v>14</v>
      </c>
      <c r="S14" s="664">
        <f t="shared" si="0"/>
        <v>100</v>
      </c>
      <c r="T14" s="663" t="s">
        <v>14</v>
      </c>
      <c r="U14" s="664">
        <f t="shared" si="1"/>
        <v>100</v>
      </c>
      <c r="V14" s="663" t="s">
        <v>14</v>
      </c>
      <c r="W14" s="664">
        <f t="shared" si="2"/>
        <v>100</v>
      </c>
      <c r="X14" s="665"/>
      <c r="Y14" s="3280"/>
      <c r="Z14" s="50">
        <f t="shared" si="7"/>
        <v>111</v>
      </c>
      <c r="AA14" s="50">
        <f>D14/F14</f>
        <v>1</v>
      </c>
      <c r="AB14" s="50">
        <f>D14/H14</f>
        <v>1</v>
      </c>
      <c r="AC14" s="50">
        <f>D14/J14</f>
        <v>1</v>
      </c>
    </row>
    <row r="15" spans="1:29" ht="85.5">
      <c r="A15" s="378" t="s">
        <v>1690</v>
      </c>
      <c r="B15" s="58" t="s">
        <v>1257</v>
      </c>
      <c r="C15" s="1747" t="str">
        <f>估价对象房地状况!C15</f>
        <v>周边有新城国际公寓、世贸国际公寓、温莎大道等住宅小区，居住社区成熟度好。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7" t="s">
        <v>1691</v>
      </c>
      <c r="Q15" s="1261" t="str">
        <f t="shared" si="6"/>
        <v>居住社区成熟度</v>
      </c>
      <c r="R15" s="666" t="s">
        <v>14</v>
      </c>
      <c r="S15" s="667">
        <f t="shared" si="0"/>
        <v>100</v>
      </c>
      <c r="T15" s="666" t="s">
        <v>14</v>
      </c>
      <c r="U15" s="667">
        <f t="shared" si="1"/>
        <v>100</v>
      </c>
      <c r="V15" s="666" t="s">
        <v>14</v>
      </c>
      <c r="W15" s="667">
        <f t="shared" si="2"/>
        <v>100</v>
      </c>
      <c r="X15" s="1263"/>
      <c r="Y15" s="3407"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8"/>
      <c r="Q16" s="1261"/>
      <c r="R16" s="666"/>
      <c r="S16" s="667"/>
      <c r="T16" s="666"/>
      <c r="U16" s="667"/>
      <c r="V16" s="666"/>
      <c r="W16" s="667"/>
      <c r="X16" s="1263"/>
      <c r="Y16" s="3408"/>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8"/>
      <c r="Q17" s="1261" t="str">
        <f>B17</f>
        <v>商业繁华度</v>
      </c>
      <c r="R17" s="666" t="s">
        <v>14</v>
      </c>
      <c r="S17" s="667">
        <f>F17</f>
        <v>100</v>
      </c>
      <c r="T17" s="666" t="s">
        <v>14</v>
      </c>
      <c r="U17" s="667">
        <f>H17</f>
        <v>100</v>
      </c>
      <c r="V17" s="666" t="s">
        <v>14</v>
      </c>
      <c r="W17" s="667">
        <f>J17</f>
        <v>100</v>
      </c>
      <c r="X17" s="1263"/>
      <c r="Y17" s="3408"/>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8"/>
      <c r="Q18" s="1261"/>
      <c r="R18" s="666"/>
      <c r="S18" s="667"/>
      <c r="T18" s="666"/>
      <c r="U18" s="667"/>
      <c r="V18" s="666"/>
      <c r="W18" s="667"/>
      <c r="X18" s="1263"/>
      <c r="Y18" s="3408"/>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8"/>
      <c r="Q19" s="1261" t="str">
        <f>B19</f>
        <v>办公集聚程度</v>
      </c>
      <c r="R19" s="666" t="s">
        <v>14</v>
      </c>
      <c r="S19" s="667">
        <f>F19</f>
        <v>100</v>
      </c>
      <c r="T19" s="666" t="s">
        <v>14</v>
      </c>
      <c r="U19" s="667">
        <f>H19</f>
        <v>100</v>
      </c>
      <c r="V19" s="666" t="s">
        <v>14</v>
      </c>
      <c r="W19" s="667">
        <f>J19</f>
        <v>100</v>
      </c>
      <c r="X19" s="1263"/>
      <c r="Y19" s="3408"/>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8"/>
      <c r="Q20" s="1261"/>
      <c r="R20" s="666"/>
      <c r="S20" s="667"/>
      <c r="T20" s="666"/>
      <c r="U20" s="667"/>
      <c r="V20" s="666"/>
      <c r="W20" s="667"/>
      <c r="X20" s="1263"/>
      <c r="Y20" s="3408"/>
      <c r="Z20" s="1262"/>
      <c r="AA20" s="1262">
        <v>1</v>
      </c>
      <c r="AB20" s="1262">
        <v>1</v>
      </c>
      <c r="AC20" s="1262">
        <v>1</v>
      </c>
    </row>
    <row r="21" spans="1:29" ht="156.75">
      <c r="A21" s="366"/>
      <c r="B21" s="389" t="s">
        <v>1830</v>
      </c>
      <c r="C21" s="1751" t="str">
        <f>估价对象房地状况!C18</f>
        <v>周边有9路、98路、113路、140路、368路等多条公交线路，地铁1号线与10号线换乘站国贸站，地铁6号线与10号线换乘站呼家楼站，综合评价交通便捷度好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8"/>
      <c r="Q21" s="1261" t="str">
        <f>B21</f>
        <v>交通便捷度</v>
      </c>
      <c r="R21" s="666" t="s">
        <v>14</v>
      </c>
      <c r="S21" s="667">
        <f>F21</f>
        <v>100</v>
      </c>
      <c r="T21" s="666" t="s">
        <v>14</v>
      </c>
      <c r="U21" s="667">
        <f>H21</f>
        <v>100</v>
      </c>
      <c r="V21" s="666" t="s">
        <v>14</v>
      </c>
      <c r="W21" s="667">
        <f>J21</f>
        <v>100</v>
      </c>
      <c r="X21" s="1263"/>
      <c r="Y21" s="3408"/>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8"/>
      <c r="Q22" s="1261"/>
      <c r="R22" s="666"/>
      <c r="S22" s="667"/>
      <c r="T22" s="666"/>
      <c r="U22" s="667"/>
      <c r="V22" s="666"/>
      <c r="W22" s="667"/>
      <c r="X22" s="1263"/>
      <c r="Y22" s="3408"/>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8"/>
      <c r="Q23" s="1261" t="str">
        <f t="shared" ref="Q23:Q37" si="8">B23</f>
        <v>区域土地利用方向</v>
      </c>
      <c r="R23" s="666" t="s">
        <v>14</v>
      </c>
      <c r="S23" s="667">
        <f>F23</f>
        <v>100</v>
      </c>
      <c r="T23" s="666" t="s">
        <v>14</v>
      </c>
      <c r="U23" s="667">
        <f>H23</f>
        <v>100</v>
      </c>
      <c r="V23" s="666" t="s">
        <v>14</v>
      </c>
      <c r="W23" s="667">
        <f>J23</f>
        <v>100</v>
      </c>
      <c r="X23" s="1263"/>
      <c r="Y23" s="3408"/>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8"/>
      <c r="Q24" s="1261"/>
      <c r="R24" s="666"/>
      <c r="S24" s="667"/>
      <c r="T24" s="666"/>
      <c r="U24" s="667"/>
      <c r="V24" s="666"/>
      <c r="W24" s="667"/>
      <c r="X24" s="1263"/>
      <c r="Y24" s="3408"/>
      <c r="Z24" s="1262"/>
      <c r="AA24" s="1262"/>
      <c r="AB24" s="1262"/>
      <c r="AC24" s="1262"/>
    </row>
    <row r="25" spans="1:29" ht="114">
      <c r="A25" s="347"/>
      <c r="B25" s="585" t="s">
        <v>1869</v>
      </c>
      <c r="C25" s="1801" t="str">
        <f>估价对象房地状况!C20</f>
        <v>自然环境：团结湖公园等自然景观；
人文环境：当代美术馆等人文场所；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8"/>
      <c r="Q25" s="1261" t="str">
        <f t="shared" si="8"/>
        <v>自然及人文环境状况</v>
      </c>
      <c r="R25" s="666" t="s">
        <v>14</v>
      </c>
      <c r="S25" s="667">
        <f>F25</f>
        <v>100</v>
      </c>
      <c r="T25" s="666" t="s">
        <v>14</v>
      </c>
      <c r="U25" s="667">
        <f>H25</f>
        <v>100</v>
      </c>
      <c r="V25" s="666" t="s">
        <v>14</v>
      </c>
      <c r="W25" s="667">
        <f>J25</f>
        <v>100</v>
      </c>
      <c r="X25" s="1263"/>
      <c r="Y25" s="3408"/>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8"/>
      <c r="Q26" s="1261"/>
      <c r="R26" s="666"/>
      <c r="S26" s="667"/>
      <c r="T26" s="666"/>
      <c r="U26" s="667"/>
      <c r="V26" s="666"/>
      <c r="W26" s="667"/>
      <c r="X26" s="1263"/>
      <c r="Y26" s="3408"/>
      <c r="Z26" s="1262"/>
      <c r="AA26" s="1262">
        <v>1</v>
      </c>
      <c r="AB26" s="1262">
        <v>1</v>
      </c>
      <c r="AC26" s="1262">
        <v>1</v>
      </c>
    </row>
    <row r="27" spans="1:29" s="101" customFormat="1" ht="285">
      <c r="A27" s="442"/>
      <c r="B27" s="585" t="s">
        <v>1775</v>
      </c>
      <c r="C27" s="1751"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8"/>
      <c r="Q27" s="529" t="str">
        <f t="shared" si="8"/>
        <v>公共配套设施</v>
      </c>
      <c r="R27" s="663" t="s">
        <v>14</v>
      </c>
      <c r="S27" s="664">
        <f>F27</f>
        <v>100</v>
      </c>
      <c r="T27" s="663" t="s">
        <v>14</v>
      </c>
      <c r="U27" s="664">
        <f>H27</f>
        <v>100</v>
      </c>
      <c r="V27" s="663" t="s">
        <v>14</v>
      </c>
      <c r="W27" s="664">
        <f>J27</f>
        <v>100</v>
      </c>
      <c r="X27" s="665"/>
      <c r="Y27" s="3408"/>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8"/>
      <c r="Q28" s="529"/>
      <c r="R28" s="663"/>
      <c r="S28" s="664"/>
      <c r="T28" s="663"/>
      <c r="U28" s="664"/>
      <c r="V28" s="663"/>
      <c r="W28" s="664"/>
      <c r="X28" s="665"/>
      <c r="Y28" s="3408"/>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8"/>
      <c r="Q29" s="529" t="str">
        <f>B29</f>
        <v>基础设施水平</v>
      </c>
      <c r="R29" s="663" t="s">
        <v>14</v>
      </c>
      <c r="S29" s="664">
        <f>F29</f>
        <v>100</v>
      </c>
      <c r="T29" s="663" t="s">
        <v>14</v>
      </c>
      <c r="U29" s="664">
        <f>H29</f>
        <v>100</v>
      </c>
      <c r="V29" s="663" t="s">
        <v>14</v>
      </c>
      <c r="W29" s="664">
        <f>J29</f>
        <v>100</v>
      </c>
      <c r="X29" s="665"/>
      <c r="Y29" s="3408"/>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8"/>
      <c r="Q30" s="529"/>
      <c r="R30" s="663"/>
      <c r="S30" s="664"/>
      <c r="T30" s="663"/>
      <c r="U30" s="664"/>
      <c r="V30" s="663"/>
      <c r="W30" s="664"/>
      <c r="X30" s="665"/>
      <c r="Y30" s="3408"/>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8"/>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8"/>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8"/>
      <c r="Q32" s="1261" t="str">
        <f t="shared" si="8"/>
        <v>毗邻道路的类型与等级</v>
      </c>
      <c r="R32" s="666" t="s">
        <v>14</v>
      </c>
      <c r="S32" s="667">
        <f t="shared" si="9"/>
        <v>100</v>
      </c>
      <c r="T32" s="666" t="s">
        <v>14</v>
      </c>
      <c r="U32" s="667">
        <f t="shared" si="10"/>
        <v>100</v>
      </c>
      <c r="V32" s="666" t="s">
        <v>14</v>
      </c>
      <c r="W32" s="667">
        <f t="shared" si="11"/>
        <v>100</v>
      </c>
      <c r="X32" s="1263"/>
      <c r="Y32" s="3408"/>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8"/>
      <c r="Q33" s="1261"/>
      <c r="R33" s="666"/>
      <c r="S33" s="667"/>
      <c r="T33" s="666"/>
      <c r="U33" s="667"/>
      <c r="V33" s="666"/>
      <c r="W33" s="667"/>
      <c r="X33" s="1263"/>
      <c r="Y33" s="3408"/>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8"/>
      <c r="Q34" s="1261" t="str">
        <f t="shared" si="8"/>
        <v>土地级别</v>
      </c>
      <c r="R34" s="666" t="s">
        <v>14</v>
      </c>
      <c r="S34" s="667">
        <f t="shared" si="9"/>
        <v>100</v>
      </c>
      <c r="T34" s="666" t="s">
        <v>14</v>
      </c>
      <c r="U34" s="667">
        <f t="shared" si="10"/>
        <v>100</v>
      </c>
      <c r="V34" s="666" t="s">
        <v>14</v>
      </c>
      <c r="W34" s="667">
        <f t="shared" si="11"/>
        <v>100</v>
      </c>
      <c r="X34" s="1263"/>
      <c r="Y34" s="3408"/>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8"/>
      <c r="Q35" s="1261">
        <f t="shared" si="8"/>
        <v>111</v>
      </c>
      <c r="R35" s="666" t="s">
        <v>14</v>
      </c>
      <c r="S35" s="667">
        <f t="shared" si="9"/>
        <v>100</v>
      </c>
      <c r="T35" s="666" t="s">
        <v>14</v>
      </c>
      <c r="U35" s="667">
        <f t="shared" si="10"/>
        <v>100</v>
      </c>
      <c r="V35" s="666" t="s">
        <v>14</v>
      </c>
      <c r="W35" s="667">
        <f t="shared" si="11"/>
        <v>100</v>
      </c>
      <c r="X35" s="1263"/>
      <c r="Y35" s="3408"/>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4" t="s">
        <v>1696</v>
      </c>
      <c r="Q36" s="1261">
        <f t="shared" si="8"/>
        <v>111</v>
      </c>
      <c r="R36" s="666" t="s">
        <v>14</v>
      </c>
      <c r="S36" s="667">
        <f t="shared" si="9"/>
        <v>100</v>
      </c>
      <c r="T36" s="666" t="s">
        <v>14</v>
      </c>
      <c r="U36" s="667">
        <f t="shared" si="10"/>
        <v>100</v>
      </c>
      <c r="V36" s="666" t="s">
        <v>14</v>
      </c>
      <c r="W36" s="667">
        <f t="shared" si="11"/>
        <v>100</v>
      </c>
      <c r="X36" s="1263"/>
      <c r="Y36" s="3412"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2"/>
      <c r="Q37" s="1261">
        <f t="shared" si="8"/>
        <v>111</v>
      </c>
      <c r="R37" s="668" t="s">
        <v>14</v>
      </c>
      <c r="S37" s="669">
        <f t="shared" si="9"/>
        <v>100</v>
      </c>
      <c r="T37" s="668" t="s">
        <v>14</v>
      </c>
      <c r="U37" s="669">
        <f t="shared" si="10"/>
        <v>100</v>
      </c>
      <c r="V37" s="668" t="s">
        <v>14</v>
      </c>
      <c r="W37" s="669">
        <f t="shared" si="11"/>
        <v>100</v>
      </c>
      <c r="X37" s="670"/>
      <c r="Y37" s="3412"/>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2"/>
      <c r="Q38" s="1261" t="str">
        <f>B38</f>
        <v>宗地面积</v>
      </c>
      <c r="R38" s="666" t="s">
        <v>14</v>
      </c>
      <c r="S38" s="667" t="e">
        <f t="shared" si="9"/>
        <v>#N/A</v>
      </c>
      <c r="T38" s="666" t="s">
        <v>14</v>
      </c>
      <c r="U38" s="667" t="e">
        <f t="shared" si="10"/>
        <v>#N/A</v>
      </c>
      <c r="V38" s="666" t="s">
        <v>14</v>
      </c>
      <c r="W38" s="667" t="e">
        <f t="shared" si="11"/>
        <v>#N/A</v>
      </c>
      <c r="X38" s="1263"/>
      <c r="Y38" s="3412"/>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12"/>
      <c r="Q39" s="1261" t="str">
        <f t="shared" ref="Q39:Q45" si="13">B39</f>
        <v>宗地形状</v>
      </c>
      <c r="R39" s="666" t="s">
        <v>14</v>
      </c>
      <c r="S39" s="667">
        <f t="shared" si="9"/>
        <v>100</v>
      </c>
      <c r="T39" s="666" t="s">
        <v>14</v>
      </c>
      <c r="U39" s="667">
        <f t="shared" si="10"/>
        <v>100</v>
      </c>
      <c r="V39" s="666" t="s">
        <v>14</v>
      </c>
      <c r="W39" s="667">
        <f t="shared" si="11"/>
        <v>100</v>
      </c>
      <c r="X39" s="1263"/>
      <c r="Y39" s="3412"/>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12"/>
      <c r="Q40" s="1261" t="str">
        <f t="shared" si="13"/>
        <v>临街宽度及深度</v>
      </c>
      <c r="R40" s="666" t="s">
        <v>14</v>
      </c>
      <c r="S40" s="667">
        <f t="shared" si="9"/>
        <v>100</v>
      </c>
      <c r="T40" s="666" t="s">
        <v>14</v>
      </c>
      <c r="U40" s="667">
        <f t="shared" si="10"/>
        <v>100</v>
      </c>
      <c r="V40" s="666" t="s">
        <v>14</v>
      </c>
      <c r="W40" s="667">
        <f t="shared" si="11"/>
        <v>100</v>
      </c>
      <c r="X40" s="1263"/>
      <c r="Y40" s="3412"/>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12"/>
      <c r="Q41" s="1261" t="str">
        <f t="shared" si="13"/>
        <v>宗地开发程度</v>
      </c>
      <c r="R41" s="663" t="s">
        <v>14</v>
      </c>
      <c r="S41" s="664">
        <f t="shared" si="9"/>
        <v>100</v>
      </c>
      <c r="T41" s="663" t="s">
        <v>14</v>
      </c>
      <c r="U41" s="664">
        <f t="shared" si="10"/>
        <v>100</v>
      </c>
      <c r="V41" s="663" t="s">
        <v>14</v>
      </c>
      <c r="W41" s="664">
        <f t="shared" si="11"/>
        <v>100</v>
      </c>
      <c r="X41" s="665"/>
      <c r="Y41" s="3412"/>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12" t="s">
        <v>1696</v>
      </c>
      <c r="Q42" s="1261" t="str">
        <f t="shared" si="13"/>
        <v>工程地质条件</v>
      </c>
      <c r="R42" s="666" t="s">
        <v>14</v>
      </c>
      <c r="S42" s="667">
        <f t="shared" si="9"/>
        <v>100</v>
      </c>
      <c r="T42" s="666" t="s">
        <v>14</v>
      </c>
      <c r="U42" s="667">
        <f t="shared" si="10"/>
        <v>100</v>
      </c>
      <c r="V42" s="666" t="s">
        <v>14</v>
      </c>
      <c r="W42" s="667">
        <f t="shared" si="11"/>
        <v>100</v>
      </c>
      <c r="X42" s="1263"/>
      <c r="Y42" s="3412"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2"/>
      <c r="Q43" s="1261">
        <f t="shared" si="13"/>
        <v>111</v>
      </c>
      <c r="R43" s="666" t="s">
        <v>14</v>
      </c>
      <c r="S43" s="667">
        <f t="shared" si="9"/>
        <v>100</v>
      </c>
      <c r="T43" s="666" t="s">
        <v>14</v>
      </c>
      <c r="U43" s="667">
        <f t="shared" si="10"/>
        <v>100</v>
      </c>
      <c r="V43" s="666" t="s">
        <v>14</v>
      </c>
      <c r="W43" s="667">
        <f t="shared" si="11"/>
        <v>100</v>
      </c>
      <c r="X43" s="1263"/>
      <c r="Y43" s="3412"/>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2"/>
      <c r="Q44" s="1261">
        <f t="shared" si="13"/>
        <v>111</v>
      </c>
      <c r="R44" s="666" t="s">
        <v>14</v>
      </c>
      <c r="S44" s="667">
        <f t="shared" si="9"/>
        <v>100</v>
      </c>
      <c r="T44" s="666" t="s">
        <v>14</v>
      </c>
      <c r="U44" s="667">
        <f t="shared" si="10"/>
        <v>100</v>
      </c>
      <c r="V44" s="666" t="s">
        <v>14</v>
      </c>
      <c r="W44" s="667">
        <f t="shared" si="11"/>
        <v>100</v>
      </c>
      <c r="X44" s="1263"/>
      <c r="Y44" s="3412"/>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2"/>
      <c r="Q45" s="1261">
        <f t="shared" si="13"/>
        <v>111</v>
      </c>
      <c r="R45" s="668" t="s">
        <v>14</v>
      </c>
      <c r="S45" s="669">
        <f t="shared" si="9"/>
        <v>100</v>
      </c>
      <c r="T45" s="668" t="s">
        <v>14</v>
      </c>
      <c r="U45" s="669">
        <f t="shared" si="10"/>
        <v>100</v>
      </c>
      <c r="V45" s="668" t="s">
        <v>14</v>
      </c>
      <c r="W45" s="669">
        <f t="shared" si="11"/>
        <v>100</v>
      </c>
      <c r="X45" s="670"/>
      <c r="Y45" s="3412"/>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5" t="str">
        <f>A46</f>
        <v>成交单价</v>
      </c>
      <c r="Q46" s="3405"/>
      <c r="R46" s="3406">
        <f>E46</f>
        <v>0</v>
      </c>
      <c r="S46" s="3406"/>
      <c r="T46" s="3406">
        <f>G46</f>
        <v>0</v>
      </c>
      <c r="U46" s="3406"/>
      <c r="V46" s="3406">
        <f>I46</f>
        <v>0</v>
      </c>
      <c r="W46" s="3406"/>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5" t="str">
        <f>A47</f>
        <v>比较价值（元/平方米）</v>
      </c>
      <c r="Q47" s="3405"/>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02" t="str">
        <f>A48</f>
        <v>估价对象XX用房的比较价值（楼面单价，元/平方米）</v>
      </c>
      <c r="Q48" s="3403"/>
      <c r="R48" s="3467" t="e">
        <f>ROUND(IF(D47="简单平均",AVERAGE(R47:W47),R47*F47+T47*H47+V47*J47),0)</f>
        <v>#DIV/0!</v>
      </c>
      <c r="S48" s="3467"/>
      <c r="T48" s="3467"/>
      <c r="U48" s="3467"/>
      <c r="V48" s="3467"/>
      <c r="W48" s="346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0" t="s">
        <v>1884</v>
      </c>
      <c r="H55" s="346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81.66</v>
      </c>
      <c r="F56" s="832" t="e">
        <f t="shared" ref="F56:F64" si="14">ROUND(B56*E56/10000,0)</f>
        <v>#DIV/0!</v>
      </c>
      <c r="G56" s="3416"/>
      <c r="H56" s="3405"/>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81.66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2024-5-1</v>
      </c>
      <c r="D67" s="655">
        <f>EDATE(C67,-3)</f>
        <v>45323</v>
      </c>
      <c r="E67" s="655">
        <f>EDATE(D67,-3)</f>
        <v>45231</v>
      </c>
      <c r="F67" s="655">
        <f t="shared" ref="F67:O67" si="17">EDATE(E67,-3)</f>
        <v>45139</v>
      </c>
      <c r="G67" s="655">
        <f t="shared" si="17"/>
        <v>45047</v>
      </c>
      <c r="H67" s="655">
        <f t="shared" si="17"/>
        <v>44958</v>
      </c>
      <c r="I67" s="655">
        <f t="shared" si="17"/>
        <v>44866</v>
      </c>
      <c r="J67" s="655">
        <f t="shared" si="17"/>
        <v>44774</v>
      </c>
      <c r="K67" s="655">
        <f t="shared" si="17"/>
        <v>44682</v>
      </c>
      <c r="L67" s="655">
        <f t="shared" si="17"/>
        <v>44593</v>
      </c>
      <c r="M67" s="655">
        <f t="shared" si="17"/>
        <v>44501</v>
      </c>
      <c r="N67" s="655">
        <f t="shared" si="17"/>
        <v>44409</v>
      </c>
      <c r="O67" s="655">
        <f t="shared" si="17"/>
        <v>44317</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2024-2</v>
      </c>
      <c r="D69" s="1099" t="str">
        <f>YEAR(D67)&amp;"-"&amp;ROUNDUP(MONTH(D67)/3,0)</f>
        <v>2024-1</v>
      </c>
      <c r="E69" s="1099" t="str">
        <f t="shared" ref="E69:O69" si="18">YEAR(E67)&amp;"-"&amp;ROUNDUP(MONTH(E67)/3,0)</f>
        <v>2023-4</v>
      </c>
      <c r="F69" s="1099" t="str">
        <f t="shared" si="18"/>
        <v>2023-3</v>
      </c>
      <c r="G69" s="1099" t="str">
        <f t="shared" si="18"/>
        <v>2023-2</v>
      </c>
      <c r="H69" s="1099" t="str">
        <f t="shared" si="18"/>
        <v>2023-1</v>
      </c>
      <c r="I69" s="1099" t="str">
        <f t="shared" si="18"/>
        <v>2022-4</v>
      </c>
      <c r="J69" s="1099" t="str">
        <f t="shared" si="18"/>
        <v>2022-3</v>
      </c>
      <c r="K69" s="1099" t="str">
        <f t="shared" si="18"/>
        <v>2022-2</v>
      </c>
      <c r="L69" s="1099" t="str">
        <f t="shared" si="18"/>
        <v>2022-1</v>
      </c>
      <c r="M69" s="1099" t="str">
        <f t="shared" si="18"/>
        <v>2021-4</v>
      </c>
      <c r="N69" s="1099" t="str">
        <f t="shared" si="18"/>
        <v>2021-3</v>
      </c>
      <c r="O69" s="1099" t="str">
        <f t="shared" si="18"/>
        <v>2021-2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69" t="s">
        <v>1916</v>
      </c>
      <c r="D6" s="3470"/>
      <c r="E6" s="3471" t="s">
        <v>1916</v>
      </c>
      <c r="F6" s="3472"/>
      <c r="G6" s="3469" t="s">
        <v>1916</v>
      </c>
      <c r="H6" s="3470"/>
      <c r="I6" s="3469" t="s">
        <v>1916</v>
      </c>
      <c r="J6" s="3470"/>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45435</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40" t="s">
        <v>1683</v>
      </c>
      <c r="Q8" s="3441"/>
      <c r="R8" s="663" t="s">
        <v>14</v>
      </c>
      <c r="S8" s="664">
        <f t="shared" si="0"/>
        <v>0</v>
      </c>
      <c r="T8" s="663" t="s">
        <v>14</v>
      </c>
      <c r="U8" s="664">
        <f t="shared" si="1"/>
        <v>0</v>
      </c>
      <c r="V8" s="663" t="s">
        <v>14</v>
      </c>
      <c r="W8" s="664">
        <f t="shared" si="2"/>
        <v>0</v>
      </c>
      <c r="X8" s="665"/>
      <c r="Y8" s="3440" t="s">
        <v>1683</v>
      </c>
      <c r="Z8" s="3441"/>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112</v>
      </c>
      <c r="G10" s="370"/>
      <c r="H10" s="118">
        <f>ROUND(100/'数据-取费表'!G16,0)</f>
        <v>112</v>
      </c>
      <c r="I10" s="370"/>
      <c r="J10" s="118">
        <f>ROUND(100/'数据-取费表'!G16,0)</f>
        <v>112</v>
      </c>
      <c r="K10" s="591"/>
      <c r="L10" s="2484"/>
      <c r="M10" s="2485"/>
      <c r="N10" s="2485"/>
      <c r="O10" s="2536"/>
      <c r="P10" s="3405"/>
      <c r="Q10" s="529" t="str">
        <f t="shared" si="6"/>
        <v>土地使用年限（年）</v>
      </c>
      <c r="R10" s="663" t="s">
        <v>14</v>
      </c>
      <c r="S10" s="664">
        <f t="shared" si="0"/>
        <v>112</v>
      </c>
      <c r="T10" s="663" t="s">
        <v>14</v>
      </c>
      <c r="U10" s="664">
        <f t="shared" si="1"/>
        <v>112</v>
      </c>
      <c r="V10" s="663" t="s">
        <v>14</v>
      </c>
      <c r="W10" s="664">
        <f t="shared" si="2"/>
        <v>112</v>
      </c>
      <c r="X10" s="665"/>
      <c r="Y10" s="3280"/>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5"/>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7" t="s">
        <v>1691</v>
      </c>
      <c r="Q15" s="1261" t="str">
        <f t="shared" si="6"/>
        <v>产业集聚程度</v>
      </c>
      <c r="R15" s="666" t="s">
        <v>14</v>
      </c>
      <c r="S15" s="667">
        <f t="shared" si="0"/>
        <v>100</v>
      </c>
      <c r="T15" s="666" t="s">
        <v>14</v>
      </c>
      <c r="U15" s="667">
        <f t="shared" si="1"/>
        <v>100</v>
      </c>
      <c r="V15" s="666" t="s">
        <v>14</v>
      </c>
      <c r="W15" s="667">
        <f t="shared" si="2"/>
        <v>100</v>
      </c>
      <c r="X15" s="1263"/>
      <c r="Y15" s="3407"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8"/>
      <c r="Q16" s="1261"/>
      <c r="R16" s="666"/>
      <c r="S16" s="667"/>
      <c r="T16" s="666"/>
      <c r="U16" s="667"/>
      <c r="V16" s="666"/>
      <c r="W16" s="667"/>
      <c r="X16" s="1263"/>
      <c r="Y16" s="3408"/>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8"/>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8"/>
      <c r="Q18" s="1261"/>
      <c r="R18" s="666"/>
      <c r="S18" s="667"/>
      <c r="T18" s="666"/>
      <c r="U18" s="667"/>
      <c r="V18" s="666"/>
      <c r="W18" s="667"/>
      <c r="X18" s="1263"/>
      <c r="Y18" s="3408"/>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8"/>
      <c r="Q19" s="1261" t="str">
        <f t="shared" ref="Q19:Q33" si="8">B19</f>
        <v>区域土地利用方向</v>
      </c>
      <c r="R19" s="666" t="s">
        <v>14</v>
      </c>
      <c r="S19" s="667">
        <f>F19</f>
        <v>100</v>
      </c>
      <c r="T19" s="666" t="s">
        <v>14</v>
      </c>
      <c r="U19" s="667">
        <f>H19</f>
        <v>100</v>
      </c>
      <c r="V19" s="666" t="s">
        <v>14</v>
      </c>
      <c r="W19" s="667">
        <f>J19</f>
        <v>100</v>
      </c>
      <c r="X19" s="1263"/>
      <c r="Y19" s="3408"/>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8"/>
      <c r="Q20" s="1261"/>
      <c r="R20" s="666"/>
      <c r="S20" s="667"/>
      <c r="T20" s="666"/>
      <c r="U20" s="667"/>
      <c r="V20" s="666"/>
      <c r="W20" s="667"/>
      <c r="X20" s="1263"/>
      <c r="Y20" s="3408"/>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8"/>
      <c r="Q21" s="1261" t="str">
        <f t="shared" si="8"/>
        <v>环境状况</v>
      </c>
      <c r="R21" s="666" t="s">
        <v>14</v>
      </c>
      <c r="S21" s="667">
        <f>F21</f>
        <v>100</v>
      </c>
      <c r="T21" s="666" t="s">
        <v>14</v>
      </c>
      <c r="U21" s="667">
        <f>H21</f>
        <v>100</v>
      </c>
      <c r="V21" s="666" t="s">
        <v>14</v>
      </c>
      <c r="W21" s="667">
        <f>J21</f>
        <v>100</v>
      </c>
      <c r="X21" s="1263"/>
      <c r="Y21" s="3408"/>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8"/>
      <c r="Q22" s="1261"/>
      <c r="R22" s="666"/>
      <c r="S22" s="667"/>
      <c r="T22" s="666"/>
      <c r="U22" s="667"/>
      <c r="V22" s="666"/>
      <c r="W22" s="667"/>
      <c r="X22" s="1263"/>
      <c r="Y22" s="3408"/>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8"/>
      <c r="Q23" s="529" t="str">
        <f t="shared" si="8"/>
        <v>公共配套设施</v>
      </c>
      <c r="R23" s="663" t="s">
        <v>14</v>
      </c>
      <c r="S23" s="664">
        <f>F23</f>
        <v>100</v>
      </c>
      <c r="T23" s="663" t="s">
        <v>14</v>
      </c>
      <c r="U23" s="664">
        <f>H23</f>
        <v>100</v>
      </c>
      <c r="V23" s="663" t="s">
        <v>14</v>
      </c>
      <c r="W23" s="664">
        <f>J23</f>
        <v>100</v>
      </c>
      <c r="X23" s="665"/>
      <c r="Y23" s="3408"/>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8"/>
      <c r="Q24" s="529"/>
      <c r="R24" s="663"/>
      <c r="S24" s="664"/>
      <c r="T24" s="663"/>
      <c r="U24" s="664"/>
      <c r="V24" s="663"/>
      <c r="W24" s="664"/>
      <c r="X24" s="665"/>
      <c r="Y24" s="3408"/>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8"/>
      <c r="Q25" s="529" t="str">
        <f>B25</f>
        <v>基础设施水平</v>
      </c>
      <c r="R25" s="663" t="s">
        <v>14</v>
      </c>
      <c r="S25" s="664">
        <f>F25</f>
        <v>100</v>
      </c>
      <c r="T25" s="663" t="s">
        <v>14</v>
      </c>
      <c r="U25" s="664">
        <f>H25</f>
        <v>100</v>
      </c>
      <c r="V25" s="663" t="s">
        <v>14</v>
      </c>
      <c r="W25" s="664">
        <f>J25</f>
        <v>100</v>
      </c>
      <c r="X25" s="665"/>
      <c r="Y25" s="3408"/>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8"/>
      <c r="Q26" s="529"/>
      <c r="R26" s="663"/>
      <c r="S26" s="664"/>
      <c r="T26" s="663"/>
      <c r="U26" s="664"/>
      <c r="V26" s="663"/>
      <c r="W26" s="664"/>
      <c r="X26" s="665"/>
      <c r="Y26" s="3408"/>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8"/>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8"/>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8"/>
      <c r="Q28" s="1261" t="str">
        <f t="shared" si="8"/>
        <v>毗邻道路的类型与等级</v>
      </c>
      <c r="R28" s="666" t="s">
        <v>14</v>
      </c>
      <c r="S28" s="667">
        <f t="shared" si="9"/>
        <v>100</v>
      </c>
      <c r="T28" s="666" t="s">
        <v>14</v>
      </c>
      <c r="U28" s="667">
        <f t="shared" si="10"/>
        <v>100</v>
      </c>
      <c r="V28" s="666" t="s">
        <v>14</v>
      </c>
      <c r="W28" s="667">
        <f t="shared" si="11"/>
        <v>100</v>
      </c>
      <c r="X28" s="1263"/>
      <c r="Y28" s="3408"/>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8"/>
      <c r="Q29" s="1261"/>
      <c r="R29" s="666"/>
      <c r="S29" s="667"/>
      <c r="T29" s="666"/>
      <c r="U29" s="667"/>
      <c r="V29" s="666"/>
      <c r="W29" s="667"/>
      <c r="X29" s="1263"/>
      <c r="Y29" s="3408"/>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8"/>
      <c r="Q30" s="1261" t="str">
        <f t="shared" si="8"/>
        <v>土地级别</v>
      </c>
      <c r="R30" s="666" t="s">
        <v>14</v>
      </c>
      <c r="S30" s="667">
        <f t="shared" si="9"/>
        <v>100</v>
      </c>
      <c r="T30" s="666" t="s">
        <v>14</v>
      </c>
      <c r="U30" s="667">
        <f t="shared" si="10"/>
        <v>100</v>
      </c>
      <c r="V30" s="666" t="s">
        <v>14</v>
      </c>
      <c r="W30" s="667">
        <f t="shared" si="11"/>
        <v>100</v>
      </c>
      <c r="X30" s="1263"/>
      <c r="Y30" s="3408"/>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8"/>
      <c r="Q31" s="1261">
        <f t="shared" si="8"/>
        <v>111</v>
      </c>
      <c r="R31" s="666" t="s">
        <v>14</v>
      </c>
      <c r="S31" s="667">
        <f t="shared" si="9"/>
        <v>100</v>
      </c>
      <c r="T31" s="666" t="s">
        <v>14</v>
      </c>
      <c r="U31" s="667">
        <f t="shared" si="10"/>
        <v>100</v>
      </c>
      <c r="V31" s="666" t="s">
        <v>14</v>
      </c>
      <c r="W31" s="667">
        <f t="shared" si="11"/>
        <v>100</v>
      </c>
      <c r="X31" s="1263"/>
      <c r="Y31" s="3408"/>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4" t="s">
        <v>1696</v>
      </c>
      <c r="Q32" s="1261">
        <f t="shared" si="8"/>
        <v>111</v>
      </c>
      <c r="R32" s="666" t="s">
        <v>14</v>
      </c>
      <c r="S32" s="667">
        <f t="shared" si="9"/>
        <v>100</v>
      </c>
      <c r="T32" s="666" t="s">
        <v>14</v>
      </c>
      <c r="U32" s="667">
        <f t="shared" si="10"/>
        <v>100</v>
      </c>
      <c r="V32" s="666" t="s">
        <v>14</v>
      </c>
      <c r="W32" s="667">
        <f t="shared" si="11"/>
        <v>100</v>
      </c>
      <c r="X32" s="1263"/>
      <c r="Y32" s="3412"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2"/>
      <c r="Q33" s="1261">
        <f t="shared" si="8"/>
        <v>111</v>
      </c>
      <c r="R33" s="668" t="s">
        <v>14</v>
      </c>
      <c r="S33" s="669">
        <f t="shared" si="9"/>
        <v>100</v>
      </c>
      <c r="T33" s="668" t="s">
        <v>14</v>
      </c>
      <c r="U33" s="669">
        <f t="shared" si="10"/>
        <v>100</v>
      </c>
      <c r="V33" s="668" t="s">
        <v>14</v>
      </c>
      <c r="W33" s="669">
        <f t="shared" si="11"/>
        <v>100</v>
      </c>
      <c r="X33" s="670"/>
      <c r="Y33" s="3412"/>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2"/>
      <c r="Q34" s="1261" t="str">
        <f>B34</f>
        <v>宗地面积</v>
      </c>
      <c r="R34" s="666" t="s">
        <v>14</v>
      </c>
      <c r="S34" s="667" t="e">
        <f t="shared" si="9"/>
        <v>#N/A</v>
      </c>
      <c r="T34" s="666" t="s">
        <v>14</v>
      </c>
      <c r="U34" s="667" t="e">
        <f t="shared" si="10"/>
        <v>#N/A</v>
      </c>
      <c r="V34" s="666" t="s">
        <v>14</v>
      </c>
      <c r="W34" s="667" t="e">
        <f t="shared" si="11"/>
        <v>#N/A</v>
      </c>
      <c r="X34" s="1263"/>
      <c r="Y34" s="3412"/>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12"/>
      <c r="Q35" s="1261" t="str">
        <f t="shared" ref="Q35:Q40" si="13">B35</f>
        <v>宗地形状</v>
      </c>
      <c r="R35" s="666" t="s">
        <v>14</v>
      </c>
      <c r="S35" s="667">
        <f t="shared" si="9"/>
        <v>100</v>
      </c>
      <c r="T35" s="666" t="s">
        <v>14</v>
      </c>
      <c r="U35" s="667">
        <f t="shared" si="10"/>
        <v>100</v>
      </c>
      <c r="V35" s="666" t="s">
        <v>14</v>
      </c>
      <c r="W35" s="667">
        <f t="shared" si="11"/>
        <v>100</v>
      </c>
      <c r="X35" s="1263"/>
      <c r="Y35" s="3412"/>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12"/>
      <c r="Q36" s="1261" t="str">
        <f t="shared" si="13"/>
        <v>宗地开发程度</v>
      </c>
      <c r="R36" s="663" t="s">
        <v>14</v>
      </c>
      <c r="S36" s="664">
        <f t="shared" si="9"/>
        <v>100</v>
      </c>
      <c r="T36" s="663" t="s">
        <v>14</v>
      </c>
      <c r="U36" s="664">
        <f t="shared" si="10"/>
        <v>100</v>
      </c>
      <c r="V36" s="663" t="s">
        <v>14</v>
      </c>
      <c r="W36" s="664">
        <f t="shared" si="11"/>
        <v>100</v>
      </c>
      <c r="X36" s="665"/>
      <c r="Y36" s="3412"/>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12" t="s">
        <v>1696</v>
      </c>
      <c r="Q37" s="1261" t="str">
        <f t="shared" si="13"/>
        <v>工程地质条件</v>
      </c>
      <c r="R37" s="666" t="s">
        <v>14</v>
      </c>
      <c r="S37" s="667">
        <f t="shared" si="9"/>
        <v>100</v>
      </c>
      <c r="T37" s="666" t="s">
        <v>14</v>
      </c>
      <c r="U37" s="667">
        <f t="shared" si="10"/>
        <v>100</v>
      </c>
      <c r="V37" s="666" t="s">
        <v>14</v>
      </c>
      <c r="W37" s="667">
        <f t="shared" si="11"/>
        <v>100</v>
      </c>
      <c r="X37" s="1263"/>
      <c r="Y37" s="3412"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2"/>
      <c r="Q38" s="1261">
        <f t="shared" si="13"/>
        <v>111</v>
      </c>
      <c r="R38" s="666" t="s">
        <v>14</v>
      </c>
      <c r="S38" s="667">
        <f t="shared" si="9"/>
        <v>100</v>
      </c>
      <c r="T38" s="666" t="s">
        <v>14</v>
      </c>
      <c r="U38" s="667">
        <f t="shared" si="10"/>
        <v>100</v>
      </c>
      <c r="V38" s="666" t="s">
        <v>14</v>
      </c>
      <c r="W38" s="667">
        <f t="shared" si="11"/>
        <v>100</v>
      </c>
      <c r="X38" s="1263"/>
      <c r="Y38" s="3412"/>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2"/>
      <c r="Q39" s="1261">
        <f t="shared" si="13"/>
        <v>111</v>
      </c>
      <c r="R39" s="666" t="s">
        <v>14</v>
      </c>
      <c r="S39" s="667">
        <f t="shared" si="9"/>
        <v>100</v>
      </c>
      <c r="T39" s="666" t="s">
        <v>14</v>
      </c>
      <c r="U39" s="667">
        <f t="shared" si="10"/>
        <v>100</v>
      </c>
      <c r="V39" s="666" t="s">
        <v>14</v>
      </c>
      <c r="W39" s="667">
        <f t="shared" si="11"/>
        <v>100</v>
      </c>
      <c r="X39" s="1263"/>
      <c r="Y39" s="3412"/>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2"/>
      <c r="Q40" s="1261">
        <f t="shared" si="13"/>
        <v>111</v>
      </c>
      <c r="R40" s="668" t="s">
        <v>14</v>
      </c>
      <c r="S40" s="669">
        <f t="shared" si="9"/>
        <v>100</v>
      </c>
      <c r="T40" s="668" t="s">
        <v>14</v>
      </c>
      <c r="U40" s="669">
        <f t="shared" si="10"/>
        <v>100</v>
      </c>
      <c r="V40" s="668" t="s">
        <v>14</v>
      </c>
      <c r="W40" s="669">
        <f t="shared" si="11"/>
        <v>100</v>
      </c>
      <c r="X40" s="670"/>
      <c r="Y40" s="3412"/>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5" t="str">
        <f>A41</f>
        <v>成交单价</v>
      </c>
      <c r="Q41" s="3405"/>
      <c r="R41" s="3406">
        <f>E41</f>
        <v>0</v>
      </c>
      <c r="S41" s="3406"/>
      <c r="T41" s="3406">
        <f>G41</f>
        <v>0</v>
      </c>
      <c r="U41" s="3406"/>
      <c r="V41" s="3406">
        <f>I41</f>
        <v>0</v>
      </c>
      <c r="W41" s="3406"/>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5" t="str">
        <f>A42</f>
        <v>比较价值（元/平方米）</v>
      </c>
      <c r="Q42" s="3405"/>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02" t="str">
        <f>A43</f>
        <v>估价对象XX用房的比较价值（楼面单价，元/平方米）</v>
      </c>
      <c r="Q43" s="3403"/>
      <c r="R43" s="3467" t="e">
        <f>ROUND(IF(D42="简单平均",AVERAGE(R42:W42),R42*F42+T42*H42+V42*J42),0)</f>
        <v>#DIV/0!</v>
      </c>
      <c r="S43" s="3467"/>
      <c r="T43" s="3467"/>
      <c r="U43" s="3467"/>
      <c r="V43" s="3467"/>
      <c r="W43" s="346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0" t="s">
        <v>1884</v>
      </c>
      <c r="H50" s="346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81.66</v>
      </c>
      <c r="F51" s="610" t="e">
        <f t="shared" ref="F51:F60" si="14">ROUND(B51*E51/10000,0)</f>
        <v>#DIV/0!</v>
      </c>
      <c r="G51" s="3416"/>
      <c r="H51" s="3405"/>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2024-5-1</v>
      </c>
      <c r="D63" s="655">
        <f>EDATE(C63,-3)</f>
        <v>45323</v>
      </c>
      <c r="E63" s="655">
        <f>EDATE(D63,-3)</f>
        <v>45231</v>
      </c>
      <c r="F63" s="655">
        <f t="shared" ref="F63:O63" si="17">EDATE(E63,-3)</f>
        <v>45139</v>
      </c>
      <c r="G63" s="655">
        <f t="shared" si="17"/>
        <v>45047</v>
      </c>
      <c r="H63" s="655">
        <f t="shared" si="17"/>
        <v>44958</v>
      </c>
      <c r="I63" s="655">
        <f t="shared" si="17"/>
        <v>44866</v>
      </c>
      <c r="J63" s="655">
        <f t="shared" si="17"/>
        <v>44774</v>
      </c>
      <c r="K63" s="655">
        <f t="shared" si="17"/>
        <v>44682</v>
      </c>
      <c r="L63" s="655">
        <f t="shared" si="17"/>
        <v>44593</v>
      </c>
      <c r="M63" s="655">
        <f t="shared" si="17"/>
        <v>44501</v>
      </c>
      <c r="N63" s="655">
        <f t="shared" si="17"/>
        <v>44409</v>
      </c>
      <c r="O63" s="655">
        <f t="shared" si="17"/>
        <v>44317</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2024-2</v>
      </c>
      <c r="D65" s="1099" t="str">
        <f t="shared" ref="D65:O65" si="18">YEAR(D63)&amp;"-"&amp;ROUNDUP(MONTH(D63)/3,0)</f>
        <v>2024-1</v>
      </c>
      <c r="E65" s="1099" t="str">
        <f t="shared" si="18"/>
        <v>2023-4</v>
      </c>
      <c r="F65" s="1099" t="str">
        <f t="shared" si="18"/>
        <v>2023-3</v>
      </c>
      <c r="G65" s="1099" t="str">
        <f t="shared" si="18"/>
        <v>2023-2</v>
      </c>
      <c r="H65" s="1099" t="str">
        <f t="shared" si="18"/>
        <v>2023-1</v>
      </c>
      <c r="I65" s="1099" t="str">
        <f t="shared" si="18"/>
        <v>2022-4</v>
      </c>
      <c r="J65" s="1099" t="str">
        <f t="shared" si="18"/>
        <v>2022-3</v>
      </c>
      <c r="K65" s="1099" t="str">
        <f t="shared" si="18"/>
        <v>2022-2</v>
      </c>
      <c r="L65" s="1099" t="str">
        <f t="shared" si="18"/>
        <v>2022-1</v>
      </c>
      <c r="M65" s="1099" t="str">
        <f t="shared" si="18"/>
        <v>2021-4</v>
      </c>
      <c r="N65" s="1099" t="str">
        <f t="shared" si="18"/>
        <v>2021-3</v>
      </c>
      <c r="O65" s="1099" t="str">
        <f t="shared" si="18"/>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6" t="s">
        <v>2081</v>
      </c>
      <c r="D1" s="3477"/>
      <c r="E1" s="3477"/>
      <c r="F1" s="3477"/>
      <c r="G1" s="3477"/>
      <c r="H1" s="3477"/>
      <c r="I1" s="3477"/>
      <c r="J1" s="3477"/>
      <c r="K1" s="3477"/>
      <c r="L1" s="3477"/>
      <c r="M1" s="3477"/>
      <c r="N1" s="3477"/>
      <c r="O1" s="3477"/>
      <c r="P1" s="3477"/>
      <c r="Q1" s="3477"/>
      <c r="R1" s="3477"/>
      <c r="S1" s="347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81.66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81.66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45435</v>
      </c>
      <c r="D1" s="1215" t="s">
        <v>603</v>
      </c>
      <c r="E1" s="1210">
        <f>'数据-取费表'!B22</f>
        <v>3</v>
      </c>
      <c r="F1" s="1215" t="s">
        <v>604</v>
      </c>
      <c r="G1" s="1211">
        <f ca="1">INDIRECT("d"&amp;$K$1)/100</f>
        <v>3.6499999999999998E-2</v>
      </c>
      <c r="H1" s="1215" t="s">
        <v>634</v>
      </c>
      <c r="I1" s="1211">
        <f ca="1">F4/100</f>
        <v>1.4999999999999999E-2</v>
      </c>
      <c r="J1" s="1216">
        <f>IF(C1&gt;C13,0,MATCH(C1,C$13:C$109,-1))+IF(SUMIF(C13:C109,C1,D13:D109)=0,13,12)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5"/>
  <sheetViews>
    <sheetView topLeftCell="A22" workbookViewId="0">
      <selection activeCell="C2" sqref="C2"/>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24">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24" ht="24.75" customHeight="1">
      <c r="A2" s="3147">
        <v>1</v>
      </c>
      <c r="B2" s="1446" t="s">
        <v>3463</v>
      </c>
      <c r="C2" s="1446" t="s">
        <v>3464</v>
      </c>
      <c r="D2" s="1446" t="s">
        <v>3421</v>
      </c>
      <c r="E2" s="3142">
        <v>74.930000000000007</v>
      </c>
      <c r="F2" s="3179" t="s">
        <v>3461</v>
      </c>
      <c r="G2" s="3142">
        <v>30</v>
      </c>
      <c r="H2" s="3142">
        <v>17</v>
      </c>
      <c r="I2" s="1446">
        <v>2001</v>
      </c>
      <c r="J2" s="3142">
        <v>90751</v>
      </c>
      <c r="K2" s="3142">
        <v>87876</v>
      </c>
      <c r="L2" s="3152">
        <v>45302</v>
      </c>
      <c r="M2" s="3179" t="s">
        <v>3434</v>
      </c>
      <c r="N2" s="3179" t="s">
        <v>3462</v>
      </c>
      <c r="O2" s="1446" t="s">
        <v>3423</v>
      </c>
    </row>
    <row r="3" spans="1:24" ht="34.5" customHeight="1">
      <c r="A3" s="3138">
        <v>2</v>
      </c>
      <c r="B3" s="1446" t="s">
        <v>3466</v>
      </c>
      <c r="C3" s="1446" t="s">
        <v>3465</v>
      </c>
      <c r="D3" s="1446" t="s">
        <v>3421</v>
      </c>
      <c r="E3" s="3142">
        <v>87.47</v>
      </c>
      <c r="F3" s="3179" t="s">
        <v>3461</v>
      </c>
      <c r="G3" s="3142">
        <v>40</v>
      </c>
      <c r="H3" s="3142">
        <v>30</v>
      </c>
      <c r="I3" s="1446">
        <v>2005</v>
      </c>
      <c r="J3" s="3142">
        <v>82543</v>
      </c>
      <c r="K3" s="1446">
        <v>80451</v>
      </c>
      <c r="L3" s="3152">
        <v>45170</v>
      </c>
      <c r="M3" s="3179" t="s">
        <v>3434</v>
      </c>
      <c r="N3" s="3179" t="s">
        <v>3462</v>
      </c>
      <c r="O3" s="1446" t="s">
        <v>3423</v>
      </c>
    </row>
    <row r="4" spans="1:24">
      <c r="A4" s="3142">
        <v>3</v>
      </c>
      <c r="B4" s="1446" t="s">
        <v>3460</v>
      </c>
      <c r="C4" s="1446" t="s">
        <v>3459</v>
      </c>
      <c r="D4" s="1446" t="s">
        <v>3421</v>
      </c>
      <c r="E4" s="3142">
        <v>89.12</v>
      </c>
      <c r="F4" s="3179" t="s">
        <v>3461</v>
      </c>
      <c r="G4" s="3142">
        <v>33</v>
      </c>
      <c r="H4" s="3142">
        <v>18</v>
      </c>
      <c r="I4" s="1446">
        <v>2003</v>
      </c>
      <c r="J4" s="3142">
        <v>92572</v>
      </c>
      <c r="K4" s="1446">
        <v>93002</v>
      </c>
      <c r="L4" s="3152">
        <v>45427</v>
      </c>
      <c r="M4" s="3179" t="s">
        <v>3433</v>
      </c>
      <c r="N4" s="3179" t="s">
        <v>3462</v>
      </c>
      <c r="O4" s="1446" t="s">
        <v>3423</v>
      </c>
    </row>
    <row r="6" spans="1:24">
      <c r="A6" s="3147"/>
    </row>
    <row r="7" spans="1:24" ht="43.5" customHeight="1">
      <c r="A7" s="3138"/>
    </row>
    <row r="9" spans="1:24">
      <c r="V9" s="3142">
        <v>84.74</v>
      </c>
      <c r="W9" s="3142">
        <v>134057</v>
      </c>
      <c r="X9" s="3178">
        <f>ROUND(V9*W9/10000,2)</f>
        <v>1136</v>
      </c>
    </row>
    <row r="10" spans="1:24">
      <c r="V10" s="3142">
        <v>85.8</v>
      </c>
      <c r="W10" s="3142">
        <v>129254</v>
      </c>
      <c r="X10" s="3178">
        <f t="shared" ref="X10:X14" si="0">ROUND(V10*W10/10000,2)</f>
        <v>1109</v>
      </c>
    </row>
    <row r="11" spans="1:24">
      <c r="V11" s="3142">
        <v>71.44</v>
      </c>
      <c r="W11" s="3142">
        <v>124300</v>
      </c>
      <c r="X11" s="3178">
        <f t="shared" si="0"/>
        <v>888</v>
      </c>
    </row>
    <row r="12" spans="1:24">
      <c r="V12" s="3142">
        <v>68.34</v>
      </c>
      <c r="W12" s="3142">
        <v>112965</v>
      </c>
      <c r="X12" s="3178">
        <f t="shared" si="0"/>
        <v>772</v>
      </c>
    </row>
    <row r="13" spans="1:24">
      <c r="V13" s="3142">
        <v>67.930000000000007</v>
      </c>
      <c r="W13" s="3142">
        <v>135434</v>
      </c>
      <c r="X13" s="3178">
        <f t="shared" si="0"/>
        <v>920</v>
      </c>
    </row>
    <row r="14" spans="1:24" ht="24.75" customHeight="1">
      <c r="V14" s="3142">
        <v>85.11</v>
      </c>
      <c r="W14" s="3142">
        <v>129832</v>
      </c>
      <c r="X14" s="3178">
        <f t="shared" si="0"/>
        <v>1105</v>
      </c>
    </row>
    <row r="15" spans="1:24" ht="24.75" customHeight="1"/>
    <row r="16" spans="1:24" ht="24.75" customHeight="1"/>
    <row r="17" spans="7:41" ht="24.75" customHeight="1"/>
    <row r="18" spans="7:41" ht="24.75" customHeight="1"/>
    <row r="19" spans="7:41" ht="24.75" customHeight="1">
      <c r="AO19" s="3142">
        <f>700/90.25</f>
        <v>7.7562326869806091</v>
      </c>
    </row>
    <row r="20" spans="7:41" ht="24.75" customHeight="1"/>
    <row r="21" spans="7:41" ht="24.75" customHeight="1"/>
    <row r="22" spans="7:41" ht="24.75" customHeight="1"/>
    <row r="23" spans="7:41" ht="24.75" customHeight="1"/>
    <row r="24" spans="7:41" ht="24.75" customHeight="1"/>
    <row r="25" spans="7:41" ht="24.75" customHeight="1"/>
    <row r="26" spans="7:41" ht="24.75" customHeight="1"/>
    <row r="27" spans="7:41" ht="24.75" customHeight="1"/>
    <row r="28" spans="7:41" ht="24.75" customHeight="1">
      <c r="G28" s="3142">
        <v>81</v>
      </c>
      <c r="H28" s="3142">
        <v>17000</v>
      </c>
      <c r="I28" s="3178">
        <f>ROUND(H28/G28,2)</f>
        <v>209.88</v>
      </c>
    </row>
    <row r="29" spans="7:41" ht="24.75" customHeight="1">
      <c r="G29" s="3142">
        <v>90.25</v>
      </c>
      <c r="H29" s="3142">
        <v>14900</v>
      </c>
      <c r="I29" s="3178">
        <f t="shared" ref="I29:I37" si="1">ROUND(H29/G29,2)</f>
        <v>165.1</v>
      </c>
    </row>
    <row r="30" spans="7:41" ht="24.75" customHeight="1">
      <c r="G30" s="3142">
        <v>95</v>
      </c>
      <c r="H30" s="3142">
        <v>17000</v>
      </c>
      <c r="I30" s="3178">
        <f t="shared" si="1"/>
        <v>178.95</v>
      </c>
    </row>
    <row r="31" spans="7:41" ht="24.75" customHeight="1">
      <c r="G31" s="3142">
        <v>82.25</v>
      </c>
      <c r="H31" s="3142">
        <v>15000</v>
      </c>
      <c r="I31" s="3178">
        <f t="shared" si="1"/>
        <v>182.37</v>
      </c>
    </row>
    <row r="32" spans="7:41" ht="24.75" customHeight="1">
      <c r="G32" s="3142">
        <v>100</v>
      </c>
      <c r="H32" s="3142">
        <v>18500</v>
      </c>
      <c r="I32" s="3178">
        <f t="shared" si="1"/>
        <v>185</v>
      </c>
    </row>
    <row r="33" spans="7:19" ht="24.75" customHeight="1">
      <c r="G33" s="3142">
        <v>97</v>
      </c>
      <c r="H33" s="3142">
        <v>17500</v>
      </c>
      <c r="I33" s="3178">
        <f t="shared" si="1"/>
        <v>180.41</v>
      </c>
    </row>
    <row r="34" spans="7:19" ht="24.75" customHeight="1">
      <c r="G34" s="3142">
        <v>88</v>
      </c>
      <c r="H34" s="3142">
        <v>15000</v>
      </c>
      <c r="I34" s="3178">
        <f t="shared" si="1"/>
        <v>170.45</v>
      </c>
    </row>
    <row r="35" spans="7:19" ht="24.75" customHeight="1">
      <c r="G35" s="3142">
        <v>90.25</v>
      </c>
      <c r="H35" s="3142">
        <v>15000</v>
      </c>
      <c r="I35" s="3178">
        <f t="shared" si="1"/>
        <v>166.2</v>
      </c>
    </row>
    <row r="36" spans="7:19" ht="24.75" customHeight="1">
      <c r="G36" s="3142">
        <v>78</v>
      </c>
      <c r="H36" s="3142">
        <v>15000</v>
      </c>
      <c r="I36" s="3178">
        <f t="shared" si="1"/>
        <v>192.31</v>
      </c>
    </row>
    <row r="37" spans="7:19" ht="24.75" customHeight="1">
      <c r="G37" s="3142">
        <v>83</v>
      </c>
      <c r="H37" s="3142">
        <v>15000</v>
      </c>
      <c r="I37" s="3178">
        <f t="shared" si="1"/>
        <v>180.72</v>
      </c>
    </row>
    <row r="39" spans="7:19">
      <c r="I39" s="3178">
        <f>AVERAGE(I28:I37)</f>
        <v>181.13900000000001</v>
      </c>
      <c r="J39" s="3142">
        <f>I39*'数据-基础表'!I13</f>
        <v>14791.810740000001</v>
      </c>
    </row>
    <row r="48" spans="7:19">
      <c r="R48" s="3142">
        <v>1</v>
      </c>
      <c r="S48" s="3142">
        <v>99</v>
      </c>
    </row>
    <row r="49" spans="15:19">
      <c r="O49" s="3142">
        <v>1</v>
      </c>
      <c r="P49" s="3142">
        <v>99</v>
      </c>
      <c r="Q49" s="3142">
        <f>P49*100/$P$49</f>
        <v>100</v>
      </c>
      <c r="R49" s="3142">
        <v>2</v>
      </c>
      <c r="S49" s="3142">
        <v>100</v>
      </c>
    </row>
    <row r="50" spans="15:19">
      <c r="O50" s="3142">
        <v>4</v>
      </c>
      <c r="P50" s="3142">
        <v>101</v>
      </c>
      <c r="Q50" s="3142">
        <f t="shared" ref="Q50:Q51" si="2">P50*100/$P$49</f>
        <v>102.02020202020202</v>
      </c>
      <c r="R50" s="3142">
        <v>3</v>
      </c>
      <c r="S50" s="3142">
        <v>101.5</v>
      </c>
    </row>
    <row r="51" spans="15:19">
      <c r="O51" s="3142">
        <v>2</v>
      </c>
      <c r="P51" s="3142">
        <v>100</v>
      </c>
      <c r="Q51" s="3142">
        <f t="shared" si="2"/>
        <v>101.01010101010101</v>
      </c>
      <c r="R51" s="3142">
        <v>4</v>
      </c>
      <c r="S51" s="3142">
        <v>101</v>
      </c>
    </row>
    <row r="52" spans="15:19">
      <c r="R52" s="3142">
        <v>5</v>
      </c>
      <c r="S52" s="3142">
        <v>100</v>
      </c>
    </row>
    <row r="53" spans="15:19">
      <c r="R53" s="3142">
        <v>6</v>
      </c>
      <c r="S53" s="3142">
        <v>97</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41.454799999999999</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5077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13066</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13066</v>
      </c>
      <c r="D8" s="213"/>
      <c r="E8" s="211"/>
      <c r="F8" s="212"/>
      <c r="G8" s="1712" t="s">
        <v>3409</v>
      </c>
    </row>
    <row r="9" spans="1:8" s="205" customFormat="1" ht="13.5" customHeight="1">
      <c r="A9" s="732" t="s">
        <v>355</v>
      </c>
      <c r="B9" s="215" t="s">
        <v>1478</v>
      </c>
      <c r="C9" s="216">
        <f ca="1">ROUND(D9*E9,0)</f>
        <v>13066</v>
      </c>
      <c r="D9" s="794">
        <f ca="1">IF(B1="",'数据-汇总表'!E5,IF(INDIRECT("'数据-取费表'!c"&amp;$G$1)="住宅",INDIRECT("'数据-取费表'!k"&amp;$G$1),0))</f>
        <v>81.66</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81.66</v>
      </c>
      <c r="E19" s="202">
        <f>'数据-取费表'!B31</f>
        <v>200</v>
      </c>
      <c r="F19" s="222"/>
      <c r="G19" s="1712" t="s">
        <v>3410</v>
      </c>
    </row>
    <row r="20" spans="1:7" s="205" customFormat="1" ht="13.5" customHeight="1">
      <c r="A20" s="246" t="s">
        <v>1574</v>
      </c>
      <c r="B20" s="201" t="s">
        <v>1575</v>
      </c>
      <c r="C20" s="223">
        <f ca="1">ROUND((C5+C19)*F20,0)</f>
        <v>261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1971</v>
      </c>
      <c r="D22" s="226">
        <f ca="1">C26</f>
        <v>1.4E-3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1952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19</v>
      </c>
      <c r="D25" s="229"/>
      <c r="E25" s="232"/>
      <c r="F25" s="230"/>
      <c r="G25" s="233" t="s">
        <v>1588</v>
      </c>
    </row>
    <row r="26" spans="1:7" s="205" customFormat="1">
      <c r="A26" s="733" t="s">
        <v>350</v>
      </c>
      <c r="B26" s="206" t="s">
        <v>1511</v>
      </c>
      <c r="C26" s="229">
        <f ca="1">ROUND(IF('数据-取费表'!B22&lt;=1,F21*F22*'数据-取费表'!B22/2,F21*(POWER((1+F22),'数据-取费表'!B22/2)-1)),4)</f>
        <v>1.4E-3</v>
      </c>
      <c r="D26" s="229"/>
      <c r="E26" s="232"/>
      <c r="F26" s="230"/>
      <c r="G26" s="234"/>
    </row>
    <row r="27" spans="1:7" s="205" customFormat="1" ht="24.75">
      <c r="A27" s="246" t="s">
        <v>1512</v>
      </c>
      <c r="B27" s="235" t="s">
        <v>1513</v>
      </c>
      <c r="C27" s="236">
        <f ca="1">C28</f>
        <v>2665</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2665</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19497</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374003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326640</v>
      </c>
      <c r="D34" s="208"/>
      <c r="E34" s="211"/>
      <c r="F34" s="248"/>
      <c r="G34" s="210"/>
    </row>
    <row r="35" spans="1:7" ht="13.5" customHeight="1">
      <c r="A35" s="733" t="s">
        <v>351</v>
      </c>
      <c r="B35" s="206" t="s">
        <v>1527</v>
      </c>
      <c r="C35" s="211">
        <f ca="1">ROUND(C34*F35,0)</f>
        <v>9799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16332</v>
      </c>
      <c r="D36" s="211"/>
      <c r="E36" s="211"/>
      <c r="F36" s="250">
        <f>'数据-取费表'!B34</f>
        <v>0.05</v>
      </c>
      <c r="G36" s="251" t="s">
        <v>1530</v>
      </c>
    </row>
    <row r="37" spans="1:7" s="249" customFormat="1" ht="13.5" customHeight="1">
      <c r="A37" s="733" t="s">
        <v>353</v>
      </c>
      <c r="B37" s="206" t="s">
        <v>1531</v>
      </c>
      <c r="C37" s="240">
        <f ca="1">ROUND(E37*D37,0)</f>
        <v>16332</v>
      </c>
      <c r="D37" s="208">
        <f ca="1">D19</f>
        <v>81.66</v>
      </c>
      <c r="E37" s="240">
        <f>'数据-取费表'!B35</f>
        <v>200</v>
      </c>
      <c r="F37" s="250"/>
      <c r="G37" s="252"/>
    </row>
    <row r="38" spans="1:7" ht="13.5" customHeight="1">
      <c r="A38" s="733" t="s">
        <v>354</v>
      </c>
      <c r="B38" s="206" t="s">
        <v>1533</v>
      </c>
      <c r="C38" s="211">
        <f ca="1">ROUND(C34*F38,0)</f>
        <v>4900</v>
      </c>
      <c r="D38" s="211"/>
      <c r="E38" s="211"/>
      <c r="F38" s="250">
        <f>'数据-取费表'!B36</f>
        <v>1.4999999999999999E-2</v>
      </c>
      <c r="G38" s="210" t="s">
        <v>1528</v>
      </c>
    </row>
    <row r="39" spans="1:7" s="205" customFormat="1" ht="13.5" customHeight="1">
      <c r="A39" s="246" t="s">
        <v>1534</v>
      </c>
      <c r="B39" s="201" t="s">
        <v>1535</v>
      </c>
      <c r="C39" s="223">
        <f ca="1">ROUND(C33*F20,0)</f>
        <v>7480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27501</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26962</v>
      </c>
      <c r="D42" s="229"/>
      <c r="E42" s="229"/>
      <c r="F42" s="230"/>
      <c r="G42" s="3373" t="s">
        <v>1591</v>
      </c>
    </row>
    <row r="43" spans="1:7" ht="13.5" customHeight="1">
      <c r="A43" s="733" t="s">
        <v>347</v>
      </c>
      <c r="B43" s="206" t="s">
        <v>1545</v>
      </c>
      <c r="C43" s="229">
        <f ca="1">ROUND(IF('数据-取费表'!B22&lt;=1,C39*F22*'数据-取费表'!B20/2,C39*(POWER((1+F22),'数据-取费表'!B20/2)-1)),0)</f>
        <v>539</v>
      </c>
      <c r="D43" s="229"/>
      <c r="E43" s="229"/>
      <c r="F43" s="230"/>
      <c r="G43" s="3374"/>
    </row>
    <row r="44" spans="1:7" ht="13.5" customHeight="1">
      <c r="A44" s="733" t="s">
        <v>348</v>
      </c>
      <c r="B44" s="206" t="s">
        <v>1546</v>
      </c>
      <c r="C44" s="229">
        <f ca="1">ROUND(IF('数据-取费表'!B22&lt;=1,C40*F22*'数据-取费表'!B20/2,C40*(POWER((1+F22),'数据-取费表'!B20/2)-1)),4)</f>
        <v>1.4E-3</v>
      </c>
      <c r="D44" s="229"/>
      <c r="E44" s="229"/>
      <c r="F44" s="230"/>
      <c r="G44" s="3375"/>
    </row>
    <row r="45" spans="1:7" s="205" customFormat="1" ht="13.5" customHeight="1">
      <c r="A45" s="246" t="s">
        <v>1547</v>
      </c>
      <c r="B45" s="235" t="s">
        <v>1513</v>
      </c>
      <c r="C45" s="236">
        <f ca="1">C46</f>
        <v>76297</v>
      </c>
      <c r="D45" s="226">
        <f ca="1">C47</f>
        <v>4.0000000000000001E-3</v>
      </c>
      <c r="E45" s="227" t="s">
        <v>1539</v>
      </c>
      <c r="F45" s="237">
        <f ca="1">F27</f>
        <v>0.2</v>
      </c>
      <c r="G45" s="238" t="s">
        <v>1548</v>
      </c>
    </row>
    <row r="46" spans="1:7" s="205" customFormat="1" ht="13.5" customHeight="1">
      <c r="A46" s="733" t="s">
        <v>346</v>
      </c>
      <c r="B46" s="239" t="s">
        <v>1549</v>
      </c>
      <c r="C46" s="240">
        <f ca="1">ROUND((C33+C39)*F27,0)</f>
        <v>76297</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526735</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395051</v>
      </c>
      <c r="D51" s="223"/>
      <c r="E51" s="223"/>
      <c r="F51" s="255"/>
      <c r="G51" s="225" t="s">
        <v>1560</v>
      </c>
    </row>
    <row r="52" spans="1:7" s="199" customFormat="1" ht="16.5" thickBot="1">
      <c r="A52" s="256" t="s">
        <v>1561</v>
      </c>
      <c r="B52" s="257"/>
      <c r="C52" s="258">
        <f ca="1">C31+C51</f>
        <v>414548</v>
      </c>
      <c r="D52" s="257"/>
      <c r="E52" s="257"/>
      <c r="F52" s="257"/>
      <c r="G52" s="259"/>
    </row>
    <row r="55" spans="1:7" ht="15">
      <c r="B55" s="261" t="s">
        <v>1562</v>
      </c>
      <c r="C55" s="262"/>
    </row>
    <row r="56" spans="1:7">
      <c r="B56" s="264" t="s">
        <v>802</v>
      </c>
      <c r="C56" s="266">
        <f ca="1">1-C57</f>
        <v>4.7000000000000042E-2</v>
      </c>
    </row>
    <row r="57" spans="1:7">
      <c r="B57" s="264" t="s">
        <v>803</v>
      </c>
      <c r="C57" s="265">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81.66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3" t="s">
        <v>1957</v>
      </c>
      <c r="X8" s="3484"/>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0" t="s">
        <v>3254</v>
      </c>
      <c r="B20" s="158" t="s">
        <v>1991</v>
      </c>
      <c r="C20" s="3025">
        <f>ROUND(IF(F21="与级别开发程度一致",0,(G21-E21)/C21),0)</f>
        <v>0</v>
      </c>
      <c r="D20" s="3040" t="s">
        <v>1995</v>
      </c>
      <c r="E20" s="3041"/>
      <c r="F20" s="3496" t="s">
        <v>1992</v>
      </c>
      <c r="G20" s="3497"/>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1"/>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45435</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0.93500000000000005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48.09</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81.66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4"/>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5"/>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5"/>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周边有9路、98路、113路、140路、368路等多条公交线路，地铁1号线与10号线换乘站国贸站，地铁6号线与10号线换乘站呼家楼站，综合评价交通便捷度好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自然环境：团结湖公园等自然景观；
人文环境：当代美术馆等人文场所；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周边有9路、98路、113路、140路、368路等多条公交线路，地铁1号线与10号线换乘站国贸站，地铁6号线与10号线换乘站呼家楼站，综合评价交通便捷度好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自然环境：团结湖公园等自然景观；
人文环境：当代美术馆等人文场所；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周边有新城国际公寓、世贸国际公寓、温莎大道等住宅小区，居住社区成熟度好。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周边有9路、98路、113路、140路、368路等多条公交线路，地铁1号线与10号线换乘站国贸站，地铁6号线与10号线换乘站呼家楼站，综合评价交通便捷度好</v>
      </c>
      <c r="C73" s="1882" t="s">
        <v>3406</v>
      </c>
      <c r="D73" s="1001">
        <f t="shared" si="16"/>
        <v>1.2699999999999999E-2</v>
      </c>
      <c r="E73" s="704"/>
      <c r="F73" s="1673"/>
      <c r="G73" s="999">
        <v>1.2699999999999999E-2</v>
      </c>
      <c r="H73" s="1002">
        <f t="shared" si="17"/>
        <v>8.0999999999999996E-3</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3.0999999999999999E-3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76" s="1882" t="s">
        <v>3406</v>
      </c>
      <c r="D76" s="1001">
        <f t="shared" si="16"/>
        <v>3.8999999999999998E-3</v>
      </c>
      <c r="E76" s="704"/>
      <c r="F76" s="1673"/>
      <c r="G76" s="999">
        <v>3.8999999999999998E-3</v>
      </c>
      <c r="H76" s="1002">
        <f t="shared" si="17"/>
        <v>2.5000000000000001E-3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自然环境：团结湖公园等自然景观；
人文环境：当代美术馆等人文场所；
综合评价环境状况较好。</v>
      </c>
      <c r="C79" s="1882" t="s">
        <v>3407</v>
      </c>
      <c r="D79" s="1001">
        <f t="shared" si="16"/>
        <v>0</v>
      </c>
      <c r="E79" s="704"/>
      <c r="F79" s="1673"/>
      <c r="G79" s="999">
        <v>5.7999999999999996E-3</v>
      </c>
      <c r="H79" s="1002">
        <f t="shared" si="17"/>
        <v>3.7000000000000002E-3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周边有9路、98路、113路、140路、368路等多条公交线路，地铁1号线与10号线换乘站国贸站，地铁6号线与10号线换乘站呼家楼站，综合评价交通便捷度好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64.5" thickBot="1">
      <c r="A101" s="3075" t="s">
        <v>3279</v>
      </c>
      <c r="B101" s="3082" t="str">
        <f>估价对象房地状况!C20</f>
        <v>自然环境：团结湖公园等自然景观；
人文环境：当代美术馆等人文场所；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2" t="s">
        <v>3294</v>
      </c>
      <c r="B103" s="3492"/>
      <c r="C103" s="3492"/>
      <c r="D103" s="3492"/>
      <c r="E103" s="3492"/>
      <c r="F103" s="3492"/>
      <c r="G103" s="3492"/>
      <c r="H103" s="3492"/>
      <c r="I103" s="3492"/>
      <c r="J103" s="3492"/>
      <c r="K103" s="1665"/>
      <c r="L103" s="1665"/>
      <c r="M103" s="1665"/>
      <c r="N103" s="1665"/>
    </row>
    <row r="104" spans="1:14">
      <c r="A104" s="3493" t="s">
        <v>3295</v>
      </c>
      <c r="B104" s="3493" t="s">
        <v>3296</v>
      </c>
      <c r="C104" s="3084" t="s">
        <v>3297</v>
      </c>
      <c r="D104" s="3085"/>
      <c r="E104" s="3085"/>
      <c r="F104" s="3085"/>
      <c r="G104" s="3085"/>
      <c r="H104" s="3085"/>
      <c r="I104" s="3085"/>
      <c r="J104" s="3086"/>
      <c r="K104" s="3087"/>
      <c r="L104" s="3087"/>
      <c r="M104" s="3087"/>
      <c r="N104" s="3087"/>
    </row>
    <row r="105" spans="1:14">
      <c r="A105" s="3493"/>
      <c r="B105" s="349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0"/>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1"/>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2" t="s">
        <v>3311</v>
      </c>
      <c r="B113" s="3482"/>
      <c r="C113" s="3482"/>
      <c r="D113" s="3482"/>
      <c r="E113" s="3482"/>
      <c r="F113" s="3482"/>
      <c r="G113" s="3482"/>
      <c r="H113" s="3482"/>
      <c r="I113" s="3482"/>
      <c r="J113" s="3482"/>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3.35</v>
      </c>
      <c r="C116" s="3093" t="s">
        <v>3313</v>
      </c>
      <c r="D116" s="3094">
        <f>SUMPRODUCT((A118:A122=F116)*(B117:M117=H116)*B118:M122)</f>
        <v>0.88839999999999997</v>
      </c>
      <c r="E116" s="161" t="s">
        <v>3314</v>
      </c>
      <c r="F116" s="3095" t="str">
        <f>E2</f>
        <v>住宅</v>
      </c>
      <c r="G116" s="161" t="s">
        <v>3315</v>
      </c>
      <c r="H116" s="3095" t="str">
        <f>G2</f>
        <v>三级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3329</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3330</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3331</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2610</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7" t="s">
        <v>2605</v>
      </c>
      <c r="B20" s="3502" t="s">
        <v>2626</v>
      </c>
      <c r="C20" s="2836" t="s">
        <v>2437</v>
      </c>
      <c r="D20" s="2837"/>
      <c r="E20" s="2838">
        <v>1</v>
      </c>
      <c r="F20" s="2839" t="s">
        <v>2438</v>
      </c>
      <c r="G20" s="2839"/>
    </row>
    <row r="21" spans="1:13" ht="19.5" customHeight="1">
      <c r="A21" s="3508"/>
      <c r="B21" s="3501"/>
      <c r="C21" s="2840" t="s">
        <v>2439</v>
      </c>
      <c r="D21" s="2841"/>
      <c r="E21" s="2842">
        <v>1</v>
      </c>
      <c r="F21" s="2839" t="s">
        <v>2440</v>
      </c>
      <c r="G21" s="2839"/>
    </row>
    <row r="22" spans="1:13" ht="19.5" customHeight="1">
      <c r="A22" s="3508"/>
      <c r="B22" s="3501"/>
      <c r="C22" s="2840" t="s">
        <v>2441</v>
      </c>
      <c r="D22" s="2841"/>
      <c r="E22" s="2842">
        <v>0.9</v>
      </c>
      <c r="F22" s="2839" t="s">
        <v>2442</v>
      </c>
      <c r="G22" s="2839"/>
    </row>
    <row r="23" spans="1:13" ht="19.5" customHeight="1">
      <c r="A23" s="3508"/>
      <c r="B23" s="3501"/>
      <c r="C23" s="2840" t="s">
        <v>2443</v>
      </c>
      <c r="D23" s="2841"/>
      <c r="E23" s="2842">
        <v>0.9</v>
      </c>
      <c r="F23" s="2839" t="s">
        <v>2444</v>
      </c>
      <c r="G23" s="2839"/>
    </row>
    <row r="24" spans="1:13" ht="19.5" customHeight="1">
      <c r="A24" s="3508"/>
      <c r="B24" s="3501"/>
      <c r="C24" s="2840" t="s">
        <v>2445</v>
      </c>
      <c r="D24" s="2841"/>
      <c r="E24" s="2842">
        <v>0.8</v>
      </c>
      <c r="F24" s="2839" t="s">
        <v>2446</v>
      </c>
      <c r="G24" s="2839"/>
    </row>
    <row r="25" spans="1:13" ht="19.5" customHeight="1" thickBot="1">
      <c r="A25" s="3509"/>
      <c r="B25" s="3503"/>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4" t="s">
        <v>2629</v>
      </c>
      <c r="B27" s="3502" t="s">
        <v>2610</v>
      </c>
      <c r="C27" s="2836" t="s">
        <v>2450</v>
      </c>
      <c r="D27" s="2837"/>
      <c r="E27" s="2838">
        <v>1</v>
      </c>
      <c r="F27" s="2839" t="s">
        <v>2451</v>
      </c>
      <c r="G27" s="2839"/>
    </row>
    <row r="28" spans="1:13" ht="19.5" customHeight="1">
      <c r="A28" s="3505"/>
      <c r="B28" s="3501"/>
      <c r="C28" s="2840" t="s">
        <v>2452</v>
      </c>
      <c r="D28" s="2841"/>
      <c r="E28" s="2842">
        <v>1</v>
      </c>
      <c r="F28" s="2839" t="s">
        <v>2453</v>
      </c>
      <c r="G28" s="2839"/>
    </row>
    <row r="29" spans="1:13" ht="19.5" customHeight="1">
      <c r="A29" s="3505"/>
      <c r="B29" s="3501"/>
      <c r="C29" s="2840" t="s">
        <v>2454</v>
      </c>
      <c r="D29" s="2841"/>
      <c r="E29" s="2842">
        <v>0.8</v>
      </c>
      <c r="F29" s="2839" t="s">
        <v>2455</v>
      </c>
      <c r="G29" s="2839"/>
    </row>
    <row r="30" spans="1:13" ht="19.5" customHeight="1">
      <c r="A30" s="3505"/>
      <c r="B30" s="3501"/>
      <c r="C30" s="2840" t="s">
        <v>2456</v>
      </c>
      <c r="D30" s="2841"/>
      <c r="E30" s="2842">
        <v>0.8</v>
      </c>
      <c r="F30" s="2839" t="s">
        <v>2457</v>
      </c>
      <c r="G30" s="2839"/>
    </row>
    <row r="31" spans="1:13" ht="19.5" customHeight="1">
      <c r="A31" s="3505"/>
      <c r="B31" s="3501"/>
      <c r="C31" s="2840" t="s">
        <v>2458</v>
      </c>
      <c r="D31" s="2841"/>
      <c r="E31" s="2842">
        <v>0.8</v>
      </c>
      <c r="F31" s="2839" t="s">
        <v>2459</v>
      </c>
      <c r="G31" s="2839"/>
    </row>
    <row r="32" spans="1:13" ht="19.5" customHeight="1">
      <c r="A32" s="3505"/>
      <c r="B32" s="3501"/>
      <c r="C32" s="2840" t="s">
        <v>2460</v>
      </c>
      <c r="D32" s="2841"/>
      <c r="E32" s="2842">
        <v>0.7</v>
      </c>
      <c r="F32" s="2839" t="s">
        <v>2461</v>
      </c>
      <c r="G32" s="2839"/>
    </row>
    <row r="33" spans="1:7" ht="19.5" customHeight="1">
      <c r="A33" s="3505"/>
      <c r="B33" s="3501"/>
      <c r="C33" s="2840" t="s">
        <v>2462</v>
      </c>
      <c r="D33" s="2841"/>
      <c r="E33" s="2842">
        <v>0.8</v>
      </c>
      <c r="F33" s="2839" t="s">
        <v>2463</v>
      </c>
      <c r="G33" s="2839"/>
    </row>
    <row r="34" spans="1:7" ht="19.5" customHeight="1">
      <c r="A34" s="3505"/>
      <c r="B34" s="3501"/>
      <c r="C34" s="2840" t="s">
        <v>2464</v>
      </c>
      <c r="D34" s="2841"/>
      <c r="E34" s="2842">
        <v>0.6</v>
      </c>
      <c r="F34" s="2839" t="s">
        <v>2465</v>
      </c>
      <c r="G34" s="2839"/>
    </row>
    <row r="35" spans="1:7" ht="19.5" customHeight="1">
      <c r="A35" s="3505"/>
      <c r="B35" s="3501"/>
      <c r="C35" s="2840" t="s">
        <v>2466</v>
      </c>
      <c r="D35" s="2841"/>
      <c r="E35" s="2842">
        <v>0.2</v>
      </c>
      <c r="F35" s="2839" t="s">
        <v>2467</v>
      </c>
      <c r="G35" s="2839"/>
    </row>
    <row r="36" spans="1:7" ht="19.5" customHeight="1">
      <c r="A36" s="3505"/>
      <c r="B36" s="3501"/>
      <c r="C36" s="2840" t="s">
        <v>2468</v>
      </c>
      <c r="D36" s="2841"/>
      <c r="E36" s="2842">
        <v>0.2</v>
      </c>
      <c r="F36" s="2839" t="s">
        <v>2469</v>
      </c>
      <c r="G36" s="2839"/>
    </row>
    <row r="37" spans="1:7" ht="19.5" customHeight="1">
      <c r="A37" s="3505"/>
      <c r="B37" s="3499" t="s">
        <v>2630</v>
      </c>
      <c r="C37" s="2840" t="s">
        <v>2470</v>
      </c>
      <c r="D37" s="2841"/>
      <c r="E37" s="2842">
        <v>0.6</v>
      </c>
      <c r="F37" s="2839" t="s">
        <v>2471</v>
      </c>
      <c r="G37" s="2839"/>
    </row>
    <row r="38" spans="1:7" ht="19.5" customHeight="1">
      <c r="A38" s="3505"/>
      <c r="B38" s="3501"/>
      <c r="C38" s="2840" t="s">
        <v>2472</v>
      </c>
      <c r="D38" s="2841"/>
      <c r="E38" s="2842">
        <v>0.6</v>
      </c>
      <c r="F38" s="2839" t="s">
        <v>2473</v>
      </c>
      <c r="G38" s="2839"/>
    </row>
    <row r="39" spans="1:7" ht="19.5" customHeight="1" thickBot="1">
      <c r="A39" s="3506"/>
      <c r="B39" s="3503"/>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7" t="s">
        <v>2608</v>
      </c>
      <c r="B41" s="3502" t="s">
        <v>2632</v>
      </c>
      <c r="C41" s="2836" t="s">
        <v>2477</v>
      </c>
      <c r="D41" s="2837"/>
      <c r="E41" s="2838">
        <v>1</v>
      </c>
      <c r="F41" s="2839" t="s">
        <v>2478</v>
      </c>
      <c r="G41" s="2839"/>
    </row>
    <row r="42" spans="1:7" ht="19.5" customHeight="1">
      <c r="A42" s="3508"/>
      <c r="B42" s="3501"/>
      <c r="C42" s="2840" t="s">
        <v>2479</v>
      </c>
      <c r="D42" s="2841"/>
      <c r="E42" s="2842">
        <v>1</v>
      </c>
      <c r="F42" s="2839" t="s">
        <v>2480</v>
      </c>
      <c r="G42" s="2839"/>
    </row>
    <row r="43" spans="1:7" ht="19.5" customHeight="1">
      <c r="A43" s="3508"/>
      <c r="B43" s="3500"/>
      <c r="C43" s="2840" t="s">
        <v>2481</v>
      </c>
      <c r="D43" s="2841"/>
      <c r="E43" s="2842">
        <v>1.5</v>
      </c>
      <c r="F43" s="2839" t="s">
        <v>2482</v>
      </c>
      <c r="G43" s="2839"/>
    </row>
    <row r="44" spans="1:7" ht="19.5" customHeight="1">
      <c r="A44" s="3508"/>
      <c r="B44" s="2851" t="s">
        <v>2633</v>
      </c>
      <c r="C44" s="2840" t="s">
        <v>2634</v>
      </c>
      <c r="D44" s="2841"/>
      <c r="E44" s="2842">
        <v>2</v>
      </c>
      <c r="F44" s="2839" t="s">
        <v>2483</v>
      </c>
      <c r="G44" s="2839"/>
    </row>
    <row r="45" spans="1:7" ht="19.5" customHeight="1">
      <c r="A45" s="3508"/>
      <c r="B45" s="3499" t="s">
        <v>2635</v>
      </c>
      <c r="C45" s="2840" t="s">
        <v>2484</v>
      </c>
      <c r="D45" s="2841"/>
      <c r="E45" s="2842">
        <v>1</v>
      </c>
      <c r="F45" s="2839" t="s">
        <v>2485</v>
      </c>
      <c r="G45" s="2839"/>
    </row>
    <row r="46" spans="1:7" ht="19.5" customHeight="1">
      <c r="A46" s="3508"/>
      <c r="B46" s="3501"/>
      <c r="C46" s="2840" t="s">
        <v>2486</v>
      </c>
      <c r="D46" s="2841"/>
      <c r="E46" s="2842">
        <v>1</v>
      </c>
      <c r="F46" s="2839" t="s">
        <v>2487</v>
      </c>
      <c r="G46" s="2839"/>
    </row>
    <row r="47" spans="1:7" ht="19.5" customHeight="1">
      <c r="A47" s="3508"/>
      <c r="B47" s="3501"/>
      <c r="C47" s="2840" t="s">
        <v>2488</v>
      </c>
      <c r="D47" s="2841"/>
      <c r="E47" s="2842">
        <v>1</v>
      </c>
      <c r="F47" s="2839" t="s">
        <v>2489</v>
      </c>
      <c r="G47" s="2839"/>
    </row>
    <row r="48" spans="1:7" ht="19.5" customHeight="1">
      <c r="A48" s="3508"/>
      <c r="B48" s="3501"/>
      <c r="C48" s="2840" t="s">
        <v>2490</v>
      </c>
      <c r="D48" s="2841"/>
      <c r="E48" s="2842">
        <v>1</v>
      </c>
      <c r="F48" s="2839" t="s">
        <v>2491</v>
      </c>
      <c r="G48" s="2839"/>
    </row>
    <row r="49" spans="1:7" ht="19.5" customHeight="1">
      <c r="A49" s="3508"/>
      <c r="B49" s="3501"/>
      <c r="C49" s="2840" t="s">
        <v>2492</v>
      </c>
      <c r="D49" s="2841"/>
      <c r="E49" s="2842">
        <v>1</v>
      </c>
      <c r="F49" s="2839" t="s">
        <v>2493</v>
      </c>
      <c r="G49" s="2839"/>
    </row>
    <row r="50" spans="1:7" ht="19.5" customHeight="1">
      <c r="A50" s="3508"/>
      <c r="B50" s="3501"/>
      <c r="C50" s="2840" t="s">
        <v>2494</v>
      </c>
      <c r="D50" s="2841"/>
      <c r="E50" s="2842">
        <v>1</v>
      </c>
      <c r="F50" s="2839" t="s">
        <v>2495</v>
      </c>
      <c r="G50" s="2839"/>
    </row>
    <row r="51" spans="1:7" ht="19.5" customHeight="1" thickBot="1">
      <c r="A51" s="3509"/>
      <c r="B51" s="3503"/>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499" t="s">
        <v>2649</v>
      </c>
      <c r="C73" s="2825" t="s">
        <v>2650</v>
      </c>
      <c r="D73" s="2825" t="s">
        <v>2651</v>
      </c>
      <c r="E73" s="2851">
        <v>0.2</v>
      </c>
      <c r="F73" s="2851">
        <v>25</v>
      </c>
    </row>
    <row r="74" spans="1:7" ht="24">
      <c r="A74" s="2851">
        <v>2</v>
      </c>
      <c r="B74" s="3501"/>
      <c r="C74" s="2825" t="s">
        <v>2652</v>
      </c>
      <c r="D74" s="2825" t="s">
        <v>2653</v>
      </c>
      <c r="E74" s="2851">
        <v>0.2</v>
      </c>
      <c r="F74" s="2851">
        <v>25</v>
      </c>
    </row>
    <row r="75" spans="1:7" ht="24">
      <c r="A75" s="2851">
        <v>3</v>
      </c>
      <c r="B75" s="3501"/>
      <c r="C75" s="2825" t="s">
        <v>2654</v>
      </c>
      <c r="D75" s="2825" t="s">
        <v>2655</v>
      </c>
      <c r="E75" s="2851">
        <v>0.2</v>
      </c>
      <c r="F75" s="2851">
        <v>25</v>
      </c>
    </row>
    <row r="76" spans="1:7" ht="13.5">
      <c r="A76" s="2851">
        <v>4</v>
      </c>
      <c r="B76" s="3501"/>
      <c r="C76" s="2825" t="s">
        <v>2656</v>
      </c>
      <c r="D76" s="2825" t="s">
        <v>2657</v>
      </c>
      <c r="E76" s="2851">
        <v>0.15</v>
      </c>
      <c r="F76" s="2851">
        <v>20</v>
      </c>
    </row>
    <row r="77" spans="1:7" ht="24">
      <c r="A77" s="2851">
        <v>5</v>
      </c>
      <c r="B77" s="3501"/>
      <c r="C77" s="2825" t="s">
        <v>2658</v>
      </c>
      <c r="D77" s="2825" t="s">
        <v>2659</v>
      </c>
      <c r="E77" s="2851">
        <v>0.15</v>
      </c>
      <c r="F77" s="2851">
        <v>20</v>
      </c>
    </row>
    <row r="78" spans="1:7" ht="24">
      <c r="A78" s="2851">
        <v>6</v>
      </c>
      <c r="B78" s="3501"/>
      <c r="C78" s="2825" t="s">
        <v>2660</v>
      </c>
      <c r="D78" s="2825" t="s">
        <v>2661</v>
      </c>
      <c r="E78" s="2851">
        <v>0.15</v>
      </c>
      <c r="F78" s="2851">
        <v>20</v>
      </c>
    </row>
    <row r="79" spans="1:7" ht="24">
      <c r="A79" s="2851">
        <v>7</v>
      </c>
      <c r="B79" s="3501"/>
      <c r="C79" s="2825" t="s">
        <v>2662</v>
      </c>
      <c r="D79" s="2825" t="s">
        <v>2663</v>
      </c>
      <c r="E79" s="2851">
        <v>0.15</v>
      </c>
      <c r="F79" s="2851">
        <v>20</v>
      </c>
    </row>
    <row r="80" spans="1:7" ht="24">
      <c r="A80" s="2851">
        <v>8</v>
      </c>
      <c r="B80" s="3501"/>
      <c r="C80" s="2825" t="s">
        <v>2664</v>
      </c>
      <c r="D80" s="2825" t="s">
        <v>2665</v>
      </c>
      <c r="E80" s="2851">
        <v>0.1</v>
      </c>
      <c r="F80" s="2851">
        <v>15</v>
      </c>
    </row>
    <row r="81" spans="1:6" ht="24">
      <c r="A81" s="2851">
        <v>9</v>
      </c>
      <c r="B81" s="3501"/>
      <c r="C81" s="2825" t="s">
        <v>2666</v>
      </c>
      <c r="D81" s="2825" t="s">
        <v>2667</v>
      </c>
      <c r="E81" s="2851">
        <v>0.1</v>
      </c>
      <c r="F81" s="2851">
        <v>15</v>
      </c>
    </row>
    <row r="82" spans="1:6" ht="24">
      <c r="A82" s="2851">
        <v>10</v>
      </c>
      <c r="B82" s="3501"/>
      <c r="C82" s="2825" t="s">
        <v>2668</v>
      </c>
      <c r="D82" s="2825" t="s">
        <v>2669</v>
      </c>
      <c r="E82" s="2851">
        <v>0.1</v>
      </c>
      <c r="F82" s="2851">
        <v>15</v>
      </c>
    </row>
    <row r="83" spans="1:6" ht="24">
      <c r="A83" s="2851">
        <v>11</v>
      </c>
      <c r="B83" s="3501"/>
      <c r="C83" s="2825" t="s">
        <v>2670</v>
      </c>
      <c r="D83" s="2825" t="s">
        <v>2671</v>
      </c>
      <c r="E83" s="2851">
        <v>0.1</v>
      </c>
      <c r="F83" s="2851">
        <v>15</v>
      </c>
    </row>
    <row r="84" spans="1:6" ht="24">
      <c r="A84" s="2851">
        <v>12</v>
      </c>
      <c r="B84" s="3501"/>
      <c r="C84" s="2825" t="s">
        <v>2672</v>
      </c>
      <c r="D84" s="2825" t="s">
        <v>2673</v>
      </c>
      <c r="E84" s="2851">
        <v>0.1</v>
      </c>
      <c r="F84" s="2851">
        <v>15</v>
      </c>
    </row>
    <row r="85" spans="1:6" ht="13.5">
      <c r="A85" s="2851">
        <v>13</v>
      </c>
      <c r="B85" s="3501"/>
      <c r="C85" s="2825" t="s">
        <v>2674</v>
      </c>
      <c r="D85" s="2825" t="s">
        <v>2675</v>
      </c>
      <c r="E85" s="2851">
        <v>0.1</v>
      </c>
      <c r="F85" s="2851">
        <v>15</v>
      </c>
    </row>
    <row r="86" spans="1:6" ht="13.5">
      <c r="A86" s="2851">
        <v>14</v>
      </c>
      <c r="B86" s="3501"/>
      <c r="C86" s="2825" t="s">
        <v>2676</v>
      </c>
      <c r="D86" s="2825" t="s">
        <v>2677</v>
      </c>
      <c r="E86" s="2851">
        <v>0.1</v>
      </c>
      <c r="F86" s="2851">
        <v>15</v>
      </c>
    </row>
    <row r="87" spans="1:6" ht="13.5">
      <c r="A87" s="2851">
        <v>15</v>
      </c>
      <c r="B87" s="3501"/>
      <c r="C87" s="2825" t="s">
        <v>2678</v>
      </c>
      <c r="D87" s="2825" t="s">
        <v>2679</v>
      </c>
      <c r="E87" s="2851">
        <v>0.1</v>
      </c>
      <c r="F87" s="2851">
        <v>15</v>
      </c>
    </row>
    <row r="88" spans="1:6" ht="24">
      <c r="A88" s="2851">
        <v>16</v>
      </c>
      <c r="B88" s="3501"/>
      <c r="C88" s="2825" t="s">
        <v>2680</v>
      </c>
      <c r="D88" s="2825" t="s">
        <v>2681</v>
      </c>
      <c r="E88" s="2851">
        <v>0.1</v>
      </c>
      <c r="F88" s="2851">
        <v>15</v>
      </c>
    </row>
    <row r="89" spans="1:6" ht="24">
      <c r="A89" s="2851">
        <v>17</v>
      </c>
      <c r="B89" s="3500"/>
      <c r="C89" s="2825" t="s">
        <v>2682</v>
      </c>
      <c r="D89" s="2825" t="s">
        <v>2683</v>
      </c>
      <c r="E89" s="2851">
        <v>0.1</v>
      </c>
      <c r="F89" s="2851">
        <v>15</v>
      </c>
    </row>
    <row r="90" spans="1:6" ht="13.5">
      <c r="A90" s="2851">
        <v>18</v>
      </c>
      <c r="B90" s="3499" t="s">
        <v>2684</v>
      </c>
      <c r="C90" s="2825" t="s">
        <v>2685</v>
      </c>
      <c r="D90" s="2825" t="s">
        <v>2686</v>
      </c>
      <c r="E90" s="2851">
        <v>0.2</v>
      </c>
      <c r="F90" s="2851">
        <v>25</v>
      </c>
    </row>
    <row r="91" spans="1:6" ht="24">
      <c r="A91" s="2851">
        <v>19</v>
      </c>
      <c r="B91" s="3501"/>
      <c r="C91" s="2825" t="s">
        <v>2687</v>
      </c>
      <c r="D91" s="2825" t="s">
        <v>2688</v>
      </c>
      <c r="E91" s="2851">
        <v>0.2</v>
      </c>
      <c r="F91" s="2851">
        <v>25</v>
      </c>
    </row>
    <row r="92" spans="1:6" ht="13.5">
      <c r="A92" s="2851">
        <v>20</v>
      </c>
      <c r="B92" s="3501"/>
      <c r="C92" s="2825" t="s">
        <v>2689</v>
      </c>
      <c r="D92" s="2825" t="s">
        <v>2690</v>
      </c>
      <c r="E92" s="2851">
        <v>0.15</v>
      </c>
      <c r="F92" s="2851">
        <v>20</v>
      </c>
    </row>
    <row r="93" spans="1:6" ht="13.5">
      <c r="A93" s="2851">
        <v>21</v>
      </c>
      <c r="B93" s="3501"/>
      <c r="C93" s="2825" t="s">
        <v>2691</v>
      </c>
      <c r="D93" s="2825" t="s">
        <v>2692</v>
      </c>
      <c r="E93" s="2851">
        <v>0.15</v>
      </c>
      <c r="F93" s="2851">
        <v>20</v>
      </c>
    </row>
    <row r="94" spans="1:6" ht="13.5">
      <c r="A94" s="2851">
        <v>22</v>
      </c>
      <c r="B94" s="3501"/>
      <c r="C94" s="2825" t="s">
        <v>2693</v>
      </c>
      <c r="D94" s="2825" t="s">
        <v>2694</v>
      </c>
      <c r="E94" s="2851">
        <v>0.15</v>
      </c>
      <c r="F94" s="2851">
        <v>20</v>
      </c>
    </row>
    <row r="95" spans="1:6" ht="36">
      <c r="A95" s="2851">
        <v>23</v>
      </c>
      <c r="B95" s="3501"/>
      <c r="C95" s="2825" t="s">
        <v>2695</v>
      </c>
      <c r="D95" s="2825" t="s">
        <v>2696</v>
      </c>
      <c r="E95" s="2851">
        <v>0.15</v>
      </c>
      <c r="F95" s="2851">
        <v>20</v>
      </c>
    </row>
    <row r="96" spans="1:6" ht="13.5">
      <c r="A96" s="2851">
        <v>24</v>
      </c>
      <c r="B96" s="3501"/>
      <c r="C96" s="2825" t="s">
        <v>2697</v>
      </c>
      <c r="D96" s="2825" t="s">
        <v>2698</v>
      </c>
      <c r="E96" s="2851">
        <v>0.1</v>
      </c>
      <c r="F96" s="2851">
        <v>15</v>
      </c>
    </row>
    <row r="97" spans="1:6" ht="13.5">
      <c r="A97" s="2851">
        <v>25</v>
      </c>
      <c r="B97" s="3501"/>
      <c r="C97" s="2825" t="s">
        <v>2699</v>
      </c>
      <c r="D97" s="2825" t="s">
        <v>2700</v>
      </c>
      <c r="E97" s="2851">
        <v>0.1</v>
      </c>
      <c r="F97" s="2851">
        <v>15</v>
      </c>
    </row>
    <row r="98" spans="1:6" ht="24">
      <c r="A98" s="2851">
        <v>26</v>
      </c>
      <c r="B98" s="3501"/>
      <c r="C98" s="2825" t="s">
        <v>2701</v>
      </c>
      <c r="D98" s="2825" t="s">
        <v>2702</v>
      </c>
      <c r="E98" s="2851">
        <v>0.1</v>
      </c>
      <c r="F98" s="2851">
        <v>15</v>
      </c>
    </row>
    <row r="99" spans="1:6" ht="24">
      <c r="A99" s="2851">
        <v>27</v>
      </c>
      <c r="B99" s="3501"/>
      <c r="C99" s="2825" t="s">
        <v>2703</v>
      </c>
      <c r="D99" s="2825" t="s">
        <v>2704</v>
      </c>
      <c r="E99" s="2851">
        <v>0.1</v>
      </c>
      <c r="F99" s="2851">
        <v>15</v>
      </c>
    </row>
    <row r="100" spans="1:6" ht="13.5">
      <c r="A100" s="2851">
        <v>28</v>
      </c>
      <c r="B100" s="3501"/>
      <c r="C100" s="2825" t="s">
        <v>2705</v>
      </c>
      <c r="D100" s="2825" t="s">
        <v>2706</v>
      </c>
      <c r="E100" s="2851">
        <v>0.1</v>
      </c>
      <c r="F100" s="2851">
        <v>15</v>
      </c>
    </row>
    <row r="101" spans="1:6" ht="13.5">
      <c r="A101" s="2851">
        <v>29</v>
      </c>
      <c r="B101" s="3501"/>
      <c r="C101" s="2825" t="s">
        <v>2707</v>
      </c>
      <c r="D101" s="2825" t="s">
        <v>2708</v>
      </c>
      <c r="E101" s="2851">
        <v>0.1</v>
      </c>
      <c r="F101" s="2851">
        <v>15</v>
      </c>
    </row>
    <row r="102" spans="1:6" ht="13.5">
      <c r="A102" s="2851">
        <v>30</v>
      </c>
      <c r="B102" s="3501"/>
      <c r="C102" s="2825" t="s">
        <v>2709</v>
      </c>
      <c r="D102" s="2825" t="s">
        <v>2710</v>
      </c>
      <c r="E102" s="2851">
        <v>0.1</v>
      </c>
      <c r="F102" s="2851">
        <v>15</v>
      </c>
    </row>
    <row r="103" spans="1:6" ht="24">
      <c r="A103" s="2851">
        <v>31</v>
      </c>
      <c r="B103" s="3501"/>
      <c r="C103" s="2825" t="s">
        <v>2711</v>
      </c>
      <c r="D103" s="2825" t="s">
        <v>2712</v>
      </c>
      <c r="E103" s="2851">
        <v>0.1</v>
      </c>
      <c r="F103" s="2851">
        <v>15</v>
      </c>
    </row>
    <row r="104" spans="1:6" ht="24">
      <c r="A104" s="2851">
        <v>32</v>
      </c>
      <c r="B104" s="3501"/>
      <c r="C104" s="2825" t="s">
        <v>2713</v>
      </c>
      <c r="D104" s="2825" t="s">
        <v>2714</v>
      </c>
      <c r="E104" s="2851">
        <v>0.1</v>
      </c>
      <c r="F104" s="2851">
        <v>15</v>
      </c>
    </row>
    <row r="105" spans="1:6" ht="24">
      <c r="A105" s="2851">
        <v>33</v>
      </c>
      <c r="B105" s="3501"/>
      <c r="C105" s="2825" t="s">
        <v>2715</v>
      </c>
      <c r="D105" s="2825" t="s">
        <v>2716</v>
      </c>
      <c r="E105" s="2851">
        <v>0.1</v>
      </c>
      <c r="F105" s="2851">
        <v>15</v>
      </c>
    </row>
    <row r="106" spans="1:6" ht="24">
      <c r="A106" s="2851">
        <v>34</v>
      </c>
      <c r="B106" s="3500"/>
      <c r="C106" s="2825" t="s">
        <v>2717</v>
      </c>
      <c r="D106" s="2825" t="s">
        <v>2718</v>
      </c>
      <c r="E106" s="2851">
        <v>0.1</v>
      </c>
      <c r="F106" s="2851">
        <v>15</v>
      </c>
    </row>
    <row r="107" spans="1:6" ht="24">
      <c r="A107" s="2851">
        <v>35</v>
      </c>
      <c r="B107" s="3499" t="s">
        <v>2719</v>
      </c>
      <c r="C107" s="2851" t="s">
        <v>2720</v>
      </c>
      <c r="D107" s="2825" t="s">
        <v>2721</v>
      </c>
      <c r="E107" s="2851">
        <v>0.15</v>
      </c>
      <c r="F107" s="2851">
        <v>20</v>
      </c>
    </row>
    <row r="108" spans="1:6" ht="13.5">
      <c r="A108" s="2851">
        <v>36</v>
      </c>
      <c r="B108" s="3501"/>
      <c r="C108" s="2851" t="s">
        <v>2722</v>
      </c>
      <c r="D108" s="2825" t="s">
        <v>2723</v>
      </c>
      <c r="E108" s="2851">
        <v>0.15</v>
      </c>
      <c r="F108" s="2851">
        <v>20</v>
      </c>
    </row>
    <row r="109" spans="1:6" ht="13.5">
      <c r="A109" s="2851">
        <v>37</v>
      </c>
      <c r="B109" s="3501"/>
      <c r="C109" s="2851" t="s">
        <v>2724</v>
      </c>
      <c r="D109" s="2825" t="s">
        <v>2725</v>
      </c>
      <c r="E109" s="2851">
        <v>0.15</v>
      </c>
      <c r="F109" s="2851">
        <v>20</v>
      </c>
    </row>
    <row r="110" spans="1:6" ht="13.5">
      <c r="A110" s="2851">
        <v>38</v>
      </c>
      <c r="B110" s="3501"/>
      <c r="C110" s="2851" t="s">
        <v>2726</v>
      </c>
      <c r="D110" s="2825" t="s">
        <v>2727</v>
      </c>
      <c r="E110" s="2851">
        <v>0.1</v>
      </c>
      <c r="F110" s="2851">
        <v>15</v>
      </c>
    </row>
    <row r="111" spans="1:6" ht="24">
      <c r="A111" s="2851">
        <v>39</v>
      </c>
      <c r="B111" s="3501"/>
      <c r="C111" s="2851" t="s">
        <v>2728</v>
      </c>
      <c r="D111" s="2825" t="s">
        <v>2729</v>
      </c>
      <c r="E111" s="2851">
        <v>0.1</v>
      </c>
      <c r="F111" s="2851">
        <v>15</v>
      </c>
    </row>
    <row r="112" spans="1:6" ht="24">
      <c r="A112" s="2851">
        <v>40</v>
      </c>
      <c r="B112" s="3500"/>
      <c r="C112" s="2851" t="s">
        <v>2730</v>
      </c>
      <c r="D112" s="2825" t="s">
        <v>2731</v>
      </c>
      <c r="E112" s="2851">
        <v>0.1</v>
      </c>
      <c r="F112" s="2851">
        <v>15</v>
      </c>
    </row>
    <row r="113" spans="1:6" ht="13.5">
      <c r="A113" s="2851">
        <v>41</v>
      </c>
      <c r="B113" s="3498" t="s">
        <v>2732</v>
      </c>
      <c r="C113" s="2851" t="s">
        <v>2733</v>
      </c>
      <c r="D113" s="2825" t="s">
        <v>2734</v>
      </c>
      <c r="E113" s="2851">
        <v>0.1</v>
      </c>
      <c r="F113" s="2851">
        <v>15</v>
      </c>
    </row>
    <row r="114" spans="1:6" ht="13.5">
      <c r="A114" s="2851">
        <v>42</v>
      </c>
      <c r="B114" s="3498"/>
      <c r="C114" s="2851" t="s">
        <v>2735</v>
      </c>
      <c r="D114" s="2825" t="s">
        <v>2736</v>
      </c>
      <c r="E114" s="2851">
        <v>0.1</v>
      </c>
      <c r="F114" s="2851">
        <v>15</v>
      </c>
    </row>
    <row r="115" spans="1:6" ht="24">
      <c r="A115" s="2851">
        <v>43</v>
      </c>
      <c r="B115" s="3498"/>
      <c r="C115" s="2851" t="s">
        <v>2737</v>
      </c>
      <c r="D115" s="2825" t="s">
        <v>2738</v>
      </c>
      <c r="E115" s="2851">
        <v>0.1</v>
      </c>
      <c r="F115" s="2851">
        <v>15</v>
      </c>
    </row>
    <row r="116" spans="1:6" ht="13.5">
      <c r="A116" s="2851">
        <v>44</v>
      </c>
      <c r="B116" s="3499" t="s">
        <v>2739</v>
      </c>
      <c r="C116" s="2851" t="s">
        <v>2740</v>
      </c>
      <c r="D116" s="2825" t="s">
        <v>2741</v>
      </c>
      <c r="E116" s="2851">
        <v>0.1</v>
      </c>
      <c r="F116" s="2851">
        <v>15</v>
      </c>
    </row>
    <row r="117" spans="1:6" ht="24">
      <c r="A117" s="2851">
        <v>45</v>
      </c>
      <c r="B117" s="3500"/>
      <c r="C117" s="2825" t="s">
        <v>2742</v>
      </c>
      <c r="D117" s="2825" t="s">
        <v>2743</v>
      </c>
      <c r="E117" s="2851">
        <v>0.1</v>
      </c>
      <c r="F117" s="2851">
        <v>15</v>
      </c>
    </row>
    <row r="118" spans="1:6" ht="24">
      <c r="A118" s="2851">
        <v>46</v>
      </c>
      <c r="B118" s="3499" t="s">
        <v>2744</v>
      </c>
      <c r="C118" s="2851" t="s">
        <v>2745</v>
      </c>
      <c r="D118" s="2825" t="s">
        <v>2746</v>
      </c>
      <c r="E118" s="2851">
        <v>0.1</v>
      </c>
      <c r="F118" s="2851">
        <v>15</v>
      </c>
    </row>
    <row r="119" spans="1:6" ht="24">
      <c r="A119" s="2851">
        <v>47</v>
      </c>
      <c r="B119" s="3500"/>
      <c r="C119" s="2851" t="s">
        <v>2747</v>
      </c>
      <c r="D119" s="2825" t="s">
        <v>2748</v>
      </c>
      <c r="E119" s="2851">
        <v>0.1</v>
      </c>
      <c r="F119" s="2851">
        <v>15</v>
      </c>
    </row>
    <row r="120" spans="1:6" ht="13.5">
      <c r="A120" s="2851">
        <v>48</v>
      </c>
      <c r="B120" s="3499" t="s">
        <v>2749</v>
      </c>
      <c r="C120" s="2851" t="s">
        <v>2750</v>
      </c>
      <c r="D120" s="2825" t="s">
        <v>2751</v>
      </c>
      <c r="E120" s="2851">
        <v>0.1</v>
      </c>
      <c r="F120" s="2851">
        <v>15</v>
      </c>
    </row>
    <row r="121" spans="1:6" ht="13.5">
      <c r="A121" s="2851">
        <v>49</v>
      </c>
      <c r="B121" s="3500"/>
      <c r="C121" s="2851" t="s">
        <v>2752</v>
      </c>
      <c r="D121" s="2825" t="s">
        <v>2753</v>
      </c>
      <c r="E121" s="2851">
        <v>0.1</v>
      </c>
      <c r="F121" s="2851">
        <v>15</v>
      </c>
    </row>
    <row r="122" spans="1:6" ht="24">
      <c r="A122" s="2851">
        <v>50</v>
      </c>
      <c r="B122" s="3498" t="s">
        <v>2754</v>
      </c>
      <c r="C122" s="2851" t="s">
        <v>2755</v>
      </c>
      <c r="D122" s="2825" t="s">
        <v>2756</v>
      </c>
      <c r="E122" s="2851">
        <v>0.1</v>
      </c>
      <c r="F122" s="2851">
        <v>15</v>
      </c>
    </row>
    <row r="123" spans="1:6" ht="24">
      <c r="A123" s="2851">
        <v>51</v>
      </c>
      <c r="B123" s="3498"/>
      <c r="C123" s="2851" t="s">
        <v>2757</v>
      </c>
      <c r="D123" s="2825" t="s">
        <v>2758</v>
      </c>
      <c r="E123" s="2851">
        <v>0.1</v>
      </c>
      <c r="F123" s="2851">
        <v>15</v>
      </c>
    </row>
    <row r="124" spans="1:6" ht="24">
      <c r="A124" s="2851">
        <v>52</v>
      </c>
      <c r="B124" s="3498" t="s">
        <v>2759</v>
      </c>
      <c r="C124" s="2851" t="s">
        <v>2760</v>
      </c>
      <c r="D124" s="2825" t="s">
        <v>2761</v>
      </c>
      <c r="E124" s="2851">
        <v>0.1</v>
      </c>
      <c r="F124" s="2851">
        <v>15</v>
      </c>
    </row>
    <row r="125" spans="1:6" ht="24">
      <c r="A125" s="2851">
        <v>53</v>
      </c>
      <c r="B125" s="3498"/>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498" t="s">
        <v>2767</v>
      </c>
      <c r="C127" s="2851" t="s">
        <v>2768</v>
      </c>
      <c r="D127" s="2825" t="s">
        <v>2769</v>
      </c>
      <c r="E127" s="2851">
        <v>0.1</v>
      </c>
      <c r="F127" s="2851">
        <v>15</v>
      </c>
    </row>
    <row r="128" spans="1:6" ht="13.5">
      <c r="A128" s="2851">
        <v>56</v>
      </c>
      <c r="B128" s="3498"/>
      <c r="C128" s="2851" t="s">
        <v>2770</v>
      </c>
      <c r="D128" s="2825" t="s">
        <v>2771</v>
      </c>
      <c r="E128" s="2851">
        <v>0.1</v>
      </c>
      <c r="F128" s="2851">
        <v>15</v>
      </c>
    </row>
    <row r="129" spans="1:6" ht="24">
      <c r="A129" s="2851">
        <v>57</v>
      </c>
      <c r="B129" s="3498"/>
      <c r="C129" s="2851" t="s">
        <v>2772</v>
      </c>
      <c r="D129" s="2825" t="s">
        <v>2773</v>
      </c>
      <c r="E129" s="2851">
        <v>0.1</v>
      </c>
      <c r="F129" s="2851">
        <v>15</v>
      </c>
    </row>
    <row r="130" spans="1:6" ht="24">
      <c r="A130" s="2851">
        <v>58</v>
      </c>
      <c r="B130" s="3498" t="s">
        <v>2774</v>
      </c>
      <c r="C130" s="2851" t="s">
        <v>2775</v>
      </c>
      <c r="D130" s="2825" t="s">
        <v>2776</v>
      </c>
      <c r="E130" s="2851">
        <v>0.1</v>
      </c>
      <c r="F130" s="2851">
        <v>15</v>
      </c>
    </row>
    <row r="131" spans="1:6" ht="13.5">
      <c r="A131" s="2851">
        <v>59</v>
      </c>
      <c r="B131" s="3498"/>
      <c r="C131" s="2851" t="s">
        <v>2777</v>
      </c>
      <c r="D131" s="2825" t="s">
        <v>2778</v>
      </c>
      <c r="E131" s="2851">
        <v>0.1</v>
      </c>
      <c r="F131" s="2851">
        <v>15</v>
      </c>
    </row>
    <row r="132" spans="1:6" ht="13.5">
      <c r="A132" s="2851">
        <v>60</v>
      </c>
      <c r="B132" s="3499" t="s">
        <v>2779</v>
      </c>
      <c r="C132" s="2851" t="s">
        <v>2780</v>
      </c>
      <c r="D132" s="2825" t="s">
        <v>2781</v>
      </c>
      <c r="E132" s="2851">
        <v>0.1</v>
      </c>
      <c r="F132" s="2851">
        <v>15</v>
      </c>
    </row>
    <row r="133" spans="1:6" ht="13.5">
      <c r="A133" s="2851">
        <v>61</v>
      </c>
      <c r="B133" s="3500"/>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498" t="s">
        <v>2787</v>
      </c>
      <c r="C135" s="2851" t="s">
        <v>2788</v>
      </c>
      <c r="D135" s="2825" t="s">
        <v>2789</v>
      </c>
      <c r="E135" s="2851">
        <v>0.1</v>
      </c>
      <c r="F135" s="2851">
        <v>15</v>
      </c>
    </row>
    <row r="136" spans="1:6" ht="13.5">
      <c r="A136" s="2851">
        <v>64</v>
      </c>
      <c r="B136" s="3498"/>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6" t="e">
        <f ca="1">结果表!H101</f>
        <v>#REF!</v>
      </c>
    </row>
    <row r="6" spans="1:5" ht="15.75">
      <c r="B6" s="3193"/>
      <c r="C6" s="1390" t="s">
        <v>911</v>
      </c>
      <c r="D6" s="796" t="e">
        <f ca="1">NUMBERSTRING(INT(D5*10000),2)&amp;"元整"</f>
        <v>#REF!</v>
      </c>
    </row>
    <row r="7" spans="1:5" ht="15.75">
      <c r="B7" s="3198"/>
      <c r="C7" s="1391" t="s">
        <v>912</v>
      </c>
      <c r="D7" s="797" t="e">
        <f ca="1">结果表!H102</f>
        <v>#REF!</v>
      </c>
    </row>
    <row r="8" spans="1:5" ht="15.75">
      <c r="B8" s="3199" t="str">
        <f>结果表!E103</f>
        <v>2.估价师知悉的法定优先受偿款</v>
      </c>
      <c r="C8" s="1392" t="s">
        <v>913</v>
      </c>
      <c r="D8" s="797">
        <f>结果表!H103</f>
        <v>0</v>
      </c>
    </row>
    <row r="9" spans="1:5" ht="15.75">
      <c r="B9" s="320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2" t="str">
        <f>结果表!E107</f>
        <v>3.房地产抵押价值</v>
      </c>
      <c r="C13" s="1395" t="s">
        <v>910</v>
      </c>
      <c r="D13" s="799" t="e">
        <f ca="1">结果表!H107</f>
        <v>#REF!</v>
      </c>
    </row>
    <row r="14" spans="1:5" ht="15.75">
      <c r="B14" s="3193"/>
      <c r="C14" s="1390" t="s">
        <v>911</v>
      </c>
      <c r="D14" s="796" t="e">
        <f ca="1">NUMBERSTRING(INT(D13*10000),2)&amp;"元整"</f>
        <v>#REF!</v>
      </c>
    </row>
    <row r="15" spans="1:5" ht="15">
      <c r="B15" s="3198"/>
      <c r="C15" s="1391" t="s">
        <v>921</v>
      </c>
      <c r="D15" s="805" t="e">
        <f ca="1">结果表!H108</f>
        <v>#REF!</v>
      </c>
    </row>
    <row r="16" spans="1:5" ht="15">
      <c r="B16" s="3199" t="str">
        <f>结果表!E109</f>
        <v>——</v>
      </c>
      <c r="C16" s="1395" t="s">
        <v>922</v>
      </c>
      <c r="D16" s="1396" t="str">
        <f>结果表!H109</f>
        <v>——</v>
      </c>
    </row>
    <row r="17" spans="1:5" ht="15.75">
      <c r="B17" s="3200"/>
      <c r="C17" s="1390" t="s">
        <v>923</v>
      </c>
      <c r="D17" s="796" t="e">
        <f>NUMBERSTRING(INT(D16*10000),2)&amp;"元整"</f>
        <v>#VALUE!</v>
      </c>
    </row>
    <row r="18" spans="1:5" ht="15">
      <c r="B18" s="3201"/>
      <c r="C18" s="1391" t="s">
        <v>912</v>
      </c>
      <c r="D18" s="805" t="str">
        <f>结果表!H110</f>
        <v>——</v>
      </c>
    </row>
    <row r="19" spans="1:5" ht="15.75">
      <c r="B19" s="3192" t="str">
        <f>结果表!E111</f>
        <v>——</v>
      </c>
      <c r="C19" s="1395" t="s">
        <v>910</v>
      </c>
      <c r="D19" s="797" t="str">
        <f>结果表!H111</f>
        <v>——</v>
      </c>
    </row>
    <row r="20" spans="1:5" ht="15.75">
      <c r="B20" s="3193"/>
      <c r="C20" s="1390" t="s">
        <v>923</v>
      </c>
      <c r="D20" s="796" t="e">
        <f>NUMBERSTRING(INT(D19*10000),2)&amp;"元整"</f>
        <v>#VALUE!</v>
      </c>
    </row>
    <row r="21" spans="1:5" ht="15.75" thickBot="1">
      <c r="B21" s="319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0.94640000000000002</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0.9002</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30801</v>
      </c>
      <c r="C2" s="2" t="s">
        <v>106</v>
      </c>
      <c r="D2" s="190"/>
      <c r="E2" s="190"/>
      <c r="F2" s="190"/>
      <c r="G2" s="190"/>
    </row>
    <row r="3" spans="1:7" s="191" customFormat="1" ht="18" customHeight="1" thickBot="1">
      <c r="A3" s="194" t="s">
        <v>58</v>
      </c>
      <c r="B3" s="195">
        <f ca="1">ROUND(B2*10000/'数据-汇总表'!E3,0)</f>
        <v>3771859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81.66</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81.66</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3109</v>
      </c>
      <c r="D22" s="226">
        <f ca="1">C26</f>
        <v>1.4E-3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3079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30</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30760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33</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81.66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1.4E-3</v>
      </c>
      <c r="D44" s="229"/>
      <c r="E44" s="229"/>
      <c r="F44" s="230"/>
      <c r="G44" s="3375"/>
    </row>
    <row r="45" spans="1:7" s="205" customFormat="1" ht="13.5" customHeight="1">
      <c r="A45" s="730" t="s">
        <v>341</v>
      </c>
      <c r="B45" s="235" t="s">
        <v>85</v>
      </c>
      <c r="C45" s="236">
        <f>C46</f>
        <v>8</v>
      </c>
      <c r="D45" s="226">
        <f>C47</f>
        <v>4.0000000000000001E-3</v>
      </c>
      <c r="E45" s="227" t="s">
        <v>102</v>
      </c>
      <c r="F45" s="237"/>
      <c r="G45" s="238" t="s">
        <v>434</v>
      </c>
    </row>
    <row r="46" spans="1:7" s="205" customFormat="1" ht="13.5" customHeight="1">
      <c r="A46" s="733" t="s">
        <v>349</v>
      </c>
      <c r="B46" s="239" t="s">
        <v>427</v>
      </c>
      <c r="C46" s="240">
        <f>ROUND((C33+C39)*F27,0)</f>
        <v>8</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54</v>
      </c>
      <c r="D49" s="223"/>
      <c r="E49" s="223"/>
      <c r="F49" s="255"/>
      <c r="G49" s="225" t="s">
        <v>435</v>
      </c>
    </row>
    <row r="50" spans="1:7" s="249" customFormat="1" ht="24">
      <c r="A50" s="730" t="s">
        <v>344</v>
      </c>
      <c r="B50" s="201" t="s">
        <v>97</v>
      </c>
      <c r="C50" s="223"/>
      <c r="D50" s="223"/>
      <c r="E50" s="223"/>
      <c r="F50" s="255">
        <f>IF('数据-取费表'!B24=0,'数据-取费表'!N16,1)</f>
        <v>0.75</v>
      </c>
      <c r="G50" s="238" t="s">
        <v>98</v>
      </c>
    </row>
    <row r="51" spans="1:7" ht="16.5" customHeight="1">
      <c r="A51" s="730" t="s">
        <v>345</v>
      </c>
      <c r="B51" s="201" t="s">
        <v>105</v>
      </c>
      <c r="C51" s="223">
        <f ca="1">ROUND(C49*F50,0)</f>
        <v>41</v>
      </c>
      <c r="D51" s="223"/>
      <c r="E51" s="223"/>
      <c r="F51" s="255"/>
      <c r="G51" s="225" t="s">
        <v>37</v>
      </c>
    </row>
    <row r="52" spans="1:7" s="199" customFormat="1" ht="16.5" thickBot="1">
      <c r="A52" s="256" t="s">
        <v>38</v>
      </c>
      <c r="B52" s="257"/>
      <c r="C52" s="258">
        <f ca="1">C31+C51</f>
        <v>30801</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2" t="s">
        <v>2839</v>
      </c>
      <c r="B1" s="3512"/>
      <c r="C1" s="3512"/>
      <c r="D1" s="3512"/>
      <c r="E1" s="3512"/>
      <c r="F1" s="3512"/>
      <c r="G1" s="3513"/>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0"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1"/>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4" t="s">
        <v>3181</v>
      </c>
      <c r="B1" s="3514"/>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7"/>
  </cols>
  <sheetData>
    <row r="1" spans="1:6">
      <c r="A1" s="3515" t="s">
        <v>3232</v>
      </c>
      <c r="B1" s="3515"/>
      <c r="C1" s="3515"/>
      <c r="D1" s="3515"/>
      <c r="E1" s="3515"/>
      <c r="F1" s="3516"/>
    </row>
    <row r="2" spans="1:6">
      <c r="A2" s="2996" t="s">
        <v>3233</v>
      </c>
    </row>
    <row r="3" spans="1:6">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45435</v>
      </c>
      <c r="B1" s="2923" t="s">
        <v>2838</v>
      </c>
      <c r="C1" s="2924"/>
      <c r="D1" s="2924"/>
      <c r="E1" s="2924"/>
      <c r="F1" s="2924"/>
      <c r="G1" s="2924"/>
      <c r="H1" s="2924"/>
      <c r="I1" s="2924"/>
      <c r="J1" s="2890"/>
      <c r="K1" s="2924" t="s">
        <v>454</v>
      </c>
      <c r="L1" s="2924"/>
      <c r="M1" s="2924"/>
      <c r="N1" s="2924"/>
      <c r="O1" s="2924"/>
      <c r="P1" s="2924"/>
      <c r="Q1" s="2890"/>
      <c r="R1" s="3517" t="s">
        <v>456</v>
      </c>
      <c r="S1" s="3518"/>
      <c r="T1" s="3518"/>
      <c r="U1" s="3518"/>
      <c r="V1" s="3518"/>
      <c r="W1" s="3518"/>
      <c r="X1" s="2890"/>
      <c r="Y1" s="3517" t="s">
        <v>457</v>
      </c>
      <c r="Z1" s="3518"/>
      <c r="AA1" s="3518"/>
      <c r="AB1" s="3518"/>
      <c r="AC1" s="3518"/>
      <c r="AD1" s="3518"/>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7" t="s">
        <v>2826</v>
      </c>
      <c r="S21" s="3518"/>
      <c r="T21" s="3518"/>
      <c r="U21" s="3518"/>
      <c r="V21" s="3518"/>
      <c r="W21" s="3518"/>
      <c r="X21" s="2890"/>
      <c r="Y21" s="3517" t="s">
        <v>2827</v>
      </c>
      <c r="Z21" s="3518"/>
      <c r="AA21" s="3518"/>
      <c r="AB21" s="3518"/>
      <c r="AC21" s="3518"/>
      <c r="AD21" s="3518"/>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5">
      <c r="A3" s="3205"/>
      <c r="B3" s="3205"/>
      <c r="C3" s="3205"/>
      <c r="D3" s="800" t="s">
        <v>925</v>
      </c>
      <c r="E3" s="800" t="s">
        <v>931</v>
      </c>
      <c r="F3" s="800" t="s">
        <v>925</v>
      </c>
      <c r="G3" s="800" t="s">
        <v>926</v>
      </c>
      <c r="H3" s="800" t="s">
        <v>925</v>
      </c>
      <c r="I3" s="800" t="s">
        <v>926</v>
      </c>
    </row>
    <row r="4" spans="1:9" ht="15">
      <c r="A4" s="1401" t="str">
        <f>项目基本情况!S2</f>
        <v>北京市房地产</v>
      </c>
      <c r="B4" s="800">
        <f>项目基本情况!C17</f>
        <v>81.66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5" t="s">
        <v>927</v>
      </c>
      <c r="B5" s="3205"/>
      <c r="C5" s="3205"/>
      <c r="D5" s="3205" t="e">
        <f ca="1">结果表!D119</f>
        <v>#REF!</v>
      </c>
      <c r="E5" s="3205"/>
      <c r="F5" s="3205" t="e">
        <f ca="1">结果表!F119</f>
        <v>#REF!</v>
      </c>
      <c r="G5" s="3205"/>
      <c r="H5" s="3205" t="e">
        <f ca="1">结果表!H119</f>
        <v>#REF!</v>
      </c>
      <c r="I5" s="3205"/>
    </row>
    <row r="6" spans="1:9" ht="15.75">
      <c r="A6" s="3204" t="str">
        <f>结果表!A120</f>
        <v>估价师知悉的法定优先受偿款</v>
      </c>
      <c r="B6" s="3204"/>
      <c r="C6" s="3204"/>
      <c r="D6" s="3204">
        <f>结果表!D120</f>
        <v>0</v>
      </c>
      <c r="E6" s="3204"/>
      <c r="F6" s="3204"/>
      <c r="G6" s="3204"/>
      <c r="H6" s="3204"/>
      <c r="I6" s="3204"/>
    </row>
    <row r="7" spans="1:9" ht="15">
      <c r="A7" s="3205" t="s">
        <v>927</v>
      </c>
      <c r="B7" s="3205"/>
      <c r="C7" s="3205"/>
      <c r="D7" s="3206" t="str">
        <f>结果表!D121</f>
        <v>零元整</v>
      </c>
      <c r="E7" s="3207"/>
      <c r="F7" s="3207"/>
      <c r="G7" s="3207"/>
      <c r="H7" s="3207"/>
      <c r="I7" s="3208"/>
    </row>
    <row r="8" spans="1:9" ht="15.75">
      <c r="A8" s="3204" t="str">
        <f>结果表!A122</f>
        <v>房地产抵押价值</v>
      </c>
      <c r="B8" s="3204"/>
      <c r="C8" s="3204"/>
      <c r="D8" s="3204" t="e">
        <f ca="1">结果表!D122</f>
        <v>#REF!</v>
      </c>
      <c r="E8" s="3204"/>
      <c r="F8" s="3204"/>
      <c r="G8" s="3204"/>
      <c r="H8" s="3204"/>
      <c r="I8" s="3204"/>
    </row>
    <row r="9" spans="1:9" ht="15">
      <c r="A9" s="3205" t="s">
        <v>927</v>
      </c>
      <c r="B9" s="3205"/>
      <c r="C9" s="3205"/>
      <c r="D9" s="3205" t="e">
        <f ca="1">结果表!D123</f>
        <v>#REF!</v>
      </c>
      <c r="E9" s="3205"/>
      <c r="F9" s="3205"/>
      <c r="G9" s="3205"/>
      <c r="H9" s="3205"/>
      <c r="I9" s="3205"/>
    </row>
    <row r="10" spans="1:9" ht="15.75">
      <c r="A10" s="3204" t="str">
        <f>结果表!A124</f>
        <v/>
      </c>
      <c r="B10" s="3204"/>
      <c r="C10" s="3204"/>
      <c r="D10" s="3204" t="str">
        <f>结果表!D124</f>
        <v>——</v>
      </c>
      <c r="E10" s="3204"/>
      <c r="F10" s="3204"/>
      <c r="G10" s="3204"/>
      <c r="H10" s="3204"/>
      <c r="I10" s="3204"/>
    </row>
    <row r="11" spans="1:9" ht="15">
      <c r="A11" s="3205" t="s">
        <v>927</v>
      </c>
      <c r="B11" s="3205"/>
      <c r="C11" s="3205"/>
      <c r="D11" s="3205" t="e">
        <f>结果表!D125</f>
        <v>#VALUE!</v>
      </c>
      <c r="E11" s="3205"/>
      <c r="F11" s="3205"/>
      <c r="G11" s="3205"/>
      <c r="H11" s="3205"/>
      <c r="I11" s="3205"/>
    </row>
    <row r="12" spans="1:9" ht="15.75">
      <c r="A12" s="3204" t="str">
        <f>结果表!A126</f>
        <v/>
      </c>
      <c r="B12" s="3204"/>
      <c r="C12" s="3204"/>
      <c r="D12" s="3204" t="str">
        <f>结果表!D126</f>
        <v>——</v>
      </c>
      <c r="E12" s="3204"/>
      <c r="F12" s="3204"/>
      <c r="G12" s="3204"/>
      <c r="H12" s="3204"/>
      <c r="I12" s="3204"/>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7" t="s">
        <v>949</v>
      </c>
      <c r="B1" s="3217"/>
      <c r="C1" s="3217"/>
      <c r="D1" s="3217"/>
    </row>
    <row r="2" spans="1:4" ht="18">
      <c r="A2" s="3218" t="s">
        <v>933</v>
      </c>
      <c r="B2" s="3218"/>
      <c r="C2" s="3218"/>
      <c r="D2" s="321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8" t="s">
        <v>939</v>
      </c>
      <c r="B6" s="3218"/>
      <c r="C6" s="3218"/>
      <c r="D6" s="321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9"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6"/>
      <c r="C12" s="3216"/>
      <c r="D12" s="3216"/>
    </row>
    <row r="13" spans="1:4" ht="30" customHeight="1">
      <c r="A13" s="3211" t="str">
        <f>IF(项目基本情况!B8="抵押","3.抵押双方在办理抵押登记手续时，应使用本公司出具的正式《房地产评估报告》，特提醒报告使用者注意。","——")</f>
        <v>——</v>
      </c>
      <c r="B13" s="3216"/>
      <c r="C13" s="3216"/>
      <c r="D13" s="3216"/>
    </row>
    <row r="14" spans="1:4" ht="15.75" customHeight="1">
      <c r="A14" s="3211" t="str">
        <f>IF(项目基本情况!B8="抵押","4.本次评估估价师所知悉的法定优先受偿款情况说明如下：","——")</f>
        <v>——</v>
      </c>
      <c r="B14" s="3216"/>
      <c r="C14" s="3216"/>
      <c r="D14" s="3216"/>
    </row>
    <row r="15" spans="1:4" ht="42" customHeight="1">
      <c r="A15" s="3211" t="str">
        <f>IF(项目基本情况!B8="抵押","（1）"&amp;CONCATENATE(项目基本情况!L20,项目基本情况!L21,项目基本情况!L22),"——")</f>
        <v>——</v>
      </c>
      <c r="B15" s="3211"/>
      <c r="C15" s="3211"/>
      <c r="D15" s="3211"/>
    </row>
    <row r="16" spans="1:4" ht="30" customHeight="1">
      <c r="A16" s="3213" t="s">
        <v>943</v>
      </c>
      <c r="B16" s="3213"/>
      <c r="C16" s="3213"/>
      <c r="D16" s="3213"/>
    </row>
    <row r="17" spans="1:4" ht="144" customHeight="1">
      <c r="A17" s="3213" t="s">
        <v>944</v>
      </c>
      <c r="B17" s="3213"/>
      <c r="C17" s="3213"/>
      <c r="D17" s="3213"/>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2">
        <v>42551</v>
      </c>
      <c r="D31" s="32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45454</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8" t="s">
        <v>2157</v>
      </c>
      <c r="B17" s="3228"/>
      <c r="C17" s="3228"/>
      <c r="D17" s="3228"/>
      <c r="E17" s="3228"/>
      <c r="F17" s="3228"/>
      <c r="G17" s="3228"/>
      <c r="H17" s="3228"/>
    </row>
    <row r="18" spans="1:8" ht="24" customHeight="1">
      <c r="A18" s="3229" t="s">
        <v>2158</v>
      </c>
      <c r="B18" s="3229"/>
      <c r="C18" s="3229"/>
      <c r="D18" s="2155"/>
      <c r="E18" s="3230" t="s">
        <v>2159</v>
      </c>
      <c r="F18" s="3229"/>
      <c r="G18" s="3229"/>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2024-01-08T09:10:02Z</cp:lastPrinted>
  <dcterms:created xsi:type="dcterms:W3CDTF">2015-07-13T07:17:23Z</dcterms:created>
  <dcterms:modified xsi:type="dcterms:W3CDTF">2024-06-11T01:33:53Z</dcterms:modified>
</cp:coreProperties>
</file>